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arketing\Aktionen - Kampagnen\2026\Abverkaufsaktion Obere Bergen Lagerrenovierung\"/>
    </mc:Choice>
  </mc:AlternateContent>
  <xr:revisionPtr revIDLastSave="0" documentId="8_{4E7CF257-2115-44EB-AD90-0829F1D5EF86}" xr6:coauthVersionLast="47" xr6:coauthVersionMax="47" xr10:uidLastSave="{00000000-0000-0000-0000-000000000000}"/>
  <bookViews>
    <workbookView xWindow="-28920" yWindow="-120" windowWidth="29040" windowHeight="15720" xr2:uid="{4648B2B6-AF0B-43EB-9C1B-E364491C0B13}"/>
  </bookViews>
  <sheets>
    <sheet name="rptAbfDataArtikelLagerbestand" sheetId="1" r:id="rId1"/>
  </sheets>
  <definedNames>
    <definedName name="_xlnm._FilterDatabase" localSheetId="0" hidden="1">rptAbfDataArtikelLagerbestand!$A$1:$C$244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" l="1"/>
  <c r="B1" i="1"/>
  <c r="C1" i="1"/>
  <c r="A2" i="1"/>
  <c r="B2" i="1"/>
  <c r="A3" i="1"/>
  <c r="B3" i="1"/>
  <c r="A4" i="1"/>
  <c r="B4" i="1"/>
  <c r="A5" i="1"/>
  <c r="B5" i="1"/>
  <c r="A6" i="1"/>
  <c r="B6" i="1"/>
  <c r="A7" i="1"/>
  <c r="B7" i="1"/>
  <c r="A8" i="1"/>
  <c r="B8" i="1"/>
  <c r="A9" i="1"/>
  <c r="B9" i="1"/>
  <c r="A10" i="1"/>
  <c r="B10" i="1"/>
  <c r="A11" i="1"/>
  <c r="B11" i="1"/>
  <c r="A12" i="1"/>
  <c r="B12" i="1"/>
  <c r="A13" i="1"/>
  <c r="B13" i="1"/>
  <c r="A14" i="1"/>
  <c r="B14" i="1"/>
  <c r="A15" i="1"/>
  <c r="B15" i="1"/>
  <c r="A16" i="1"/>
  <c r="B16" i="1"/>
  <c r="A17" i="1"/>
  <c r="B17" i="1"/>
  <c r="A18" i="1"/>
  <c r="B18" i="1"/>
  <c r="A19" i="1"/>
  <c r="B19" i="1"/>
  <c r="A20" i="1"/>
  <c r="B20" i="1"/>
  <c r="A21" i="1"/>
  <c r="B21" i="1"/>
  <c r="A22" i="1"/>
  <c r="B22" i="1"/>
  <c r="A23" i="1"/>
  <c r="B23" i="1"/>
  <c r="A24" i="1"/>
  <c r="B24" i="1"/>
  <c r="A25" i="1"/>
  <c r="B25" i="1"/>
  <c r="A26" i="1"/>
  <c r="B26" i="1"/>
  <c r="A27" i="1"/>
  <c r="B27" i="1"/>
  <c r="A28" i="1"/>
  <c r="B28" i="1"/>
  <c r="A29" i="1"/>
  <c r="B29" i="1"/>
  <c r="A30" i="1"/>
  <c r="B30" i="1"/>
  <c r="A31" i="1"/>
  <c r="B31" i="1"/>
  <c r="A32" i="1"/>
  <c r="B32" i="1"/>
  <c r="A33" i="1"/>
  <c r="B33" i="1"/>
  <c r="A34" i="1"/>
  <c r="B34" i="1"/>
  <c r="A35" i="1"/>
  <c r="B35" i="1"/>
  <c r="A36" i="1"/>
  <c r="B36" i="1"/>
  <c r="A37" i="1"/>
  <c r="B37" i="1"/>
  <c r="A38" i="1"/>
  <c r="B38" i="1"/>
  <c r="A39" i="1"/>
  <c r="B39" i="1"/>
  <c r="A40" i="1"/>
  <c r="B40" i="1"/>
  <c r="A41" i="1"/>
  <c r="B41" i="1"/>
  <c r="A42" i="1"/>
  <c r="B42" i="1"/>
  <c r="A43" i="1"/>
  <c r="B43" i="1"/>
  <c r="A44" i="1"/>
  <c r="B44" i="1"/>
  <c r="A45" i="1"/>
  <c r="B45" i="1"/>
  <c r="A46" i="1"/>
  <c r="B46" i="1"/>
  <c r="A47" i="1"/>
  <c r="B47" i="1"/>
  <c r="A48" i="1"/>
  <c r="B48" i="1"/>
  <c r="A49" i="1"/>
  <c r="B49" i="1"/>
  <c r="A50" i="1"/>
  <c r="B50" i="1"/>
  <c r="A51" i="1"/>
  <c r="B51" i="1"/>
  <c r="A52" i="1"/>
  <c r="B52" i="1"/>
  <c r="A53" i="1"/>
  <c r="B53" i="1"/>
  <c r="A54" i="1"/>
  <c r="B54" i="1"/>
  <c r="A55" i="1"/>
  <c r="B55" i="1"/>
  <c r="A56" i="1"/>
  <c r="B56" i="1"/>
  <c r="A57" i="1"/>
  <c r="B57" i="1"/>
  <c r="A58" i="1"/>
  <c r="B58" i="1"/>
  <c r="A59" i="1"/>
  <c r="B59" i="1"/>
  <c r="A60" i="1"/>
  <c r="B60" i="1"/>
  <c r="A61" i="1"/>
  <c r="B61" i="1"/>
  <c r="A62" i="1"/>
  <c r="B62" i="1"/>
  <c r="A63" i="1"/>
  <c r="B63" i="1"/>
  <c r="A64" i="1"/>
  <c r="B64" i="1"/>
  <c r="A65" i="1"/>
  <c r="B65" i="1"/>
  <c r="A66" i="1"/>
  <c r="B66" i="1"/>
  <c r="A67" i="1"/>
  <c r="B67" i="1"/>
  <c r="A68" i="1"/>
  <c r="B68" i="1"/>
  <c r="A69" i="1"/>
  <c r="B69" i="1"/>
  <c r="A70" i="1"/>
  <c r="B70" i="1"/>
  <c r="A71" i="1"/>
  <c r="B71" i="1"/>
  <c r="A72" i="1"/>
  <c r="B72" i="1"/>
  <c r="A73" i="1"/>
  <c r="B73" i="1"/>
  <c r="A74" i="1"/>
  <c r="B74" i="1"/>
  <c r="A75" i="1"/>
  <c r="B75" i="1"/>
  <c r="A76" i="1"/>
  <c r="B76" i="1"/>
  <c r="A77" i="1"/>
  <c r="B77" i="1"/>
  <c r="A78" i="1"/>
  <c r="B78" i="1"/>
  <c r="A79" i="1"/>
  <c r="B79" i="1"/>
  <c r="A80" i="1"/>
  <c r="B80" i="1"/>
  <c r="A81" i="1"/>
  <c r="B81" i="1"/>
  <c r="A82" i="1"/>
  <c r="B82" i="1"/>
  <c r="A83" i="1"/>
  <c r="B83" i="1"/>
  <c r="A84" i="1"/>
  <c r="B84" i="1"/>
  <c r="A85" i="1"/>
  <c r="B85" i="1"/>
  <c r="A86" i="1"/>
  <c r="B86" i="1"/>
  <c r="A87" i="1"/>
  <c r="B87" i="1"/>
  <c r="A88" i="1"/>
  <c r="B88" i="1"/>
  <c r="A89" i="1"/>
  <c r="B89" i="1"/>
  <c r="A90" i="1"/>
  <c r="B90" i="1"/>
  <c r="A91" i="1"/>
  <c r="B91" i="1"/>
  <c r="A92" i="1"/>
  <c r="B92" i="1"/>
  <c r="A93" i="1"/>
  <c r="B93" i="1"/>
  <c r="A94" i="1"/>
  <c r="B94" i="1"/>
  <c r="A95" i="1"/>
  <c r="B95" i="1"/>
  <c r="A96" i="1"/>
  <c r="B96" i="1"/>
  <c r="A97" i="1"/>
  <c r="B97" i="1"/>
  <c r="A98" i="1"/>
  <c r="B98" i="1"/>
  <c r="A99" i="1"/>
  <c r="B99" i="1"/>
  <c r="A100" i="1"/>
  <c r="B100" i="1"/>
  <c r="A101" i="1"/>
  <c r="B101" i="1"/>
  <c r="A102" i="1"/>
  <c r="B102" i="1"/>
  <c r="A103" i="1"/>
  <c r="B103" i="1"/>
  <c r="A104" i="1"/>
  <c r="B104" i="1"/>
  <c r="A105" i="1"/>
  <c r="B105" i="1"/>
  <c r="A106" i="1"/>
  <c r="B106" i="1"/>
  <c r="A107" i="1"/>
  <c r="B107" i="1"/>
  <c r="A108" i="1"/>
  <c r="B108" i="1"/>
  <c r="A109" i="1"/>
  <c r="B109" i="1"/>
  <c r="A110" i="1"/>
  <c r="B110" i="1"/>
  <c r="A111" i="1"/>
  <c r="B111" i="1"/>
  <c r="A112" i="1"/>
  <c r="B112" i="1"/>
  <c r="A113" i="1"/>
  <c r="B113" i="1"/>
  <c r="A114" i="1"/>
  <c r="B114" i="1"/>
  <c r="A115" i="1"/>
  <c r="B115" i="1"/>
  <c r="A116" i="1"/>
  <c r="B116" i="1"/>
  <c r="A117" i="1"/>
  <c r="B117" i="1"/>
  <c r="A118" i="1"/>
  <c r="B118" i="1"/>
  <c r="A119" i="1"/>
  <c r="B119" i="1"/>
  <c r="A120" i="1"/>
  <c r="B120" i="1"/>
  <c r="A121" i="1"/>
  <c r="B121" i="1"/>
  <c r="A122" i="1"/>
  <c r="B122" i="1"/>
  <c r="A123" i="1"/>
  <c r="B123" i="1"/>
  <c r="A124" i="1"/>
  <c r="B124" i="1"/>
  <c r="A125" i="1"/>
  <c r="B125" i="1"/>
  <c r="A126" i="1"/>
  <c r="B126" i="1"/>
  <c r="A127" i="1"/>
  <c r="B127" i="1"/>
  <c r="A128" i="1"/>
  <c r="B128" i="1"/>
  <c r="A129" i="1"/>
  <c r="B129" i="1"/>
  <c r="A130" i="1"/>
  <c r="B130" i="1"/>
  <c r="A131" i="1"/>
  <c r="B131" i="1"/>
  <c r="A132" i="1"/>
  <c r="B132" i="1"/>
  <c r="A133" i="1"/>
  <c r="B133" i="1"/>
  <c r="A134" i="1"/>
  <c r="B134" i="1"/>
  <c r="A135" i="1"/>
  <c r="B135" i="1"/>
  <c r="A136" i="1"/>
  <c r="B136" i="1"/>
  <c r="A137" i="1"/>
  <c r="B137" i="1"/>
  <c r="A138" i="1"/>
  <c r="B138" i="1"/>
  <c r="A139" i="1"/>
  <c r="B139" i="1"/>
  <c r="A140" i="1"/>
  <c r="B140" i="1"/>
  <c r="A141" i="1"/>
  <c r="B141" i="1"/>
  <c r="A142" i="1"/>
  <c r="B142" i="1"/>
  <c r="A143" i="1"/>
  <c r="B143" i="1"/>
  <c r="A144" i="1"/>
  <c r="B144" i="1"/>
  <c r="A145" i="1"/>
  <c r="B145" i="1"/>
  <c r="A146" i="1"/>
  <c r="B146" i="1"/>
  <c r="A147" i="1"/>
  <c r="B147" i="1"/>
  <c r="A148" i="1"/>
  <c r="B148" i="1"/>
  <c r="A149" i="1"/>
  <c r="B149" i="1"/>
  <c r="A150" i="1"/>
  <c r="B150" i="1"/>
  <c r="A151" i="1"/>
  <c r="B151" i="1"/>
  <c r="A152" i="1"/>
  <c r="B152" i="1"/>
  <c r="A153" i="1"/>
  <c r="B153" i="1"/>
  <c r="A154" i="1"/>
  <c r="B154" i="1"/>
  <c r="A155" i="1"/>
  <c r="B155" i="1"/>
  <c r="A156" i="1"/>
  <c r="B156" i="1"/>
  <c r="A157" i="1"/>
  <c r="B157" i="1"/>
  <c r="A158" i="1"/>
  <c r="B158" i="1"/>
  <c r="A159" i="1"/>
  <c r="B159" i="1"/>
  <c r="A160" i="1"/>
  <c r="B160" i="1"/>
  <c r="A161" i="1"/>
  <c r="B161" i="1"/>
  <c r="A162" i="1"/>
  <c r="B162" i="1"/>
  <c r="A163" i="1"/>
  <c r="B163" i="1"/>
  <c r="A164" i="1"/>
  <c r="B164" i="1"/>
  <c r="A165" i="1"/>
  <c r="B165" i="1"/>
  <c r="A166" i="1"/>
  <c r="B166" i="1"/>
  <c r="A167" i="1"/>
  <c r="B167" i="1"/>
  <c r="A168" i="1"/>
  <c r="B168" i="1"/>
  <c r="A169" i="1"/>
  <c r="B169" i="1"/>
  <c r="A170" i="1"/>
  <c r="B170" i="1"/>
  <c r="A171" i="1"/>
  <c r="B171" i="1"/>
  <c r="A172" i="1"/>
  <c r="B172" i="1"/>
  <c r="A173" i="1"/>
  <c r="B173" i="1"/>
  <c r="A174" i="1"/>
  <c r="B174" i="1"/>
  <c r="A175" i="1"/>
  <c r="B175" i="1"/>
  <c r="A176" i="1"/>
  <c r="B176" i="1"/>
  <c r="A177" i="1"/>
  <c r="B177" i="1"/>
  <c r="A178" i="1"/>
  <c r="B178" i="1"/>
  <c r="A179" i="1"/>
  <c r="B179" i="1"/>
  <c r="A180" i="1"/>
  <c r="B180" i="1"/>
  <c r="A181" i="1"/>
  <c r="B181" i="1"/>
  <c r="A182" i="1"/>
  <c r="B182" i="1"/>
  <c r="A183" i="1"/>
  <c r="B183" i="1"/>
  <c r="A184" i="1"/>
  <c r="B184" i="1"/>
  <c r="A185" i="1"/>
  <c r="B185" i="1"/>
  <c r="A186" i="1"/>
  <c r="B186" i="1"/>
  <c r="A187" i="1"/>
  <c r="B187" i="1"/>
  <c r="A188" i="1"/>
  <c r="B188" i="1"/>
  <c r="A189" i="1"/>
  <c r="B189" i="1"/>
  <c r="A190" i="1"/>
  <c r="B190" i="1"/>
  <c r="A191" i="1"/>
  <c r="B191" i="1"/>
  <c r="A192" i="1"/>
  <c r="B192" i="1"/>
  <c r="A193" i="1"/>
  <c r="B193" i="1"/>
  <c r="A194" i="1"/>
  <c r="B194" i="1"/>
  <c r="A195" i="1"/>
  <c r="B195" i="1"/>
  <c r="A196" i="1"/>
  <c r="B196" i="1"/>
  <c r="A197" i="1"/>
  <c r="B197" i="1"/>
  <c r="A198" i="1"/>
  <c r="B198" i="1"/>
  <c r="A199" i="1"/>
  <c r="B199" i="1"/>
  <c r="A200" i="1"/>
  <c r="B200" i="1"/>
  <c r="A201" i="1"/>
  <c r="B201" i="1"/>
  <c r="A202" i="1"/>
  <c r="B202" i="1"/>
  <c r="A203" i="1"/>
  <c r="B203" i="1"/>
  <c r="A204" i="1"/>
  <c r="B204" i="1"/>
  <c r="A205" i="1"/>
  <c r="B205" i="1"/>
  <c r="A206" i="1"/>
  <c r="B206" i="1"/>
  <c r="A207" i="1"/>
  <c r="B207" i="1"/>
  <c r="A208" i="1"/>
  <c r="B208" i="1"/>
  <c r="A209" i="1"/>
  <c r="B209" i="1"/>
  <c r="A210" i="1"/>
  <c r="B210" i="1"/>
  <c r="A211" i="1"/>
  <c r="B211" i="1"/>
  <c r="A212" i="1"/>
  <c r="B212" i="1"/>
  <c r="A213" i="1"/>
  <c r="B213" i="1"/>
  <c r="A214" i="1"/>
  <c r="B214" i="1"/>
  <c r="A215" i="1"/>
  <c r="B215" i="1"/>
  <c r="A216" i="1"/>
  <c r="B216" i="1"/>
  <c r="A217" i="1"/>
  <c r="B217" i="1"/>
  <c r="A218" i="1"/>
  <c r="B218" i="1"/>
  <c r="A219" i="1"/>
  <c r="B219" i="1"/>
  <c r="A220" i="1"/>
  <c r="B220" i="1"/>
  <c r="A221" i="1"/>
  <c r="B221" i="1"/>
  <c r="A222" i="1"/>
  <c r="B222" i="1"/>
  <c r="A223" i="1"/>
  <c r="B223" i="1"/>
  <c r="A224" i="1"/>
  <c r="B224" i="1"/>
  <c r="A225" i="1"/>
  <c r="B225" i="1"/>
  <c r="A226" i="1"/>
  <c r="B226" i="1"/>
  <c r="A227" i="1"/>
  <c r="B227" i="1"/>
  <c r="A228" i="1"/>
  <c r="B228" i="1"/>
  <c r="A229" i="1"/>
  <c r="B229" i="1"/>
  <c r="A230" i="1"/>
  <c r="B230" i="1"/>
  <c r="A231" i="1"/>
  <c r="B231" i="1"/>
  <c r="A232" i="1"/>
  <c r="B232" i="1"/>
  <c r="A233" i="1"/>
  <c r="B233" i="1"/>
  <c r="A234" i="1"/>
  <c r="B234" i="1"/>
  <c r="A235" i="1"/>
  <c r="B235" i="1"/>
  <c r="A236" i="1"/>
  <c r="B236" i="1"/>
  <c r="A237" i="1"/>
  <c r="B237" i="1"/>
  <c r="A238" i="1"/>
  <c r="B238" i="1"/>
  <c r="A239" i="1"/>
  <c r="B239" i="1"/>
  <c r="A240" i="1"/>
  <c r="B240" i="1"/>
  <c r="A241" i="1"/>
  <c r="B241" i="1"/>
  <c r="A242" i="1"/>
  <c r="B242" i="1"/>
  <c r="A243" i="1"/>
  <c r="B243" i="1"/>
  <c r="A244" i="1"/>
  <c r="B244" i="1"/>
</calcChain>
</file>

<file path=xl/sharedStrings.xml><?xml version="1.0" encoding="utf-8"?>
<sst xmlns="http://schemas.openxmlformats.org/spreadsheetml/2006/main" count="1" uniqueCount="1">
  <si>
    <t>Gewünschte Menge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</si>
</sst>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981F-F547-40D8-8ED0-8DBD21B5DC5F}">
  <dimension ref="A1:D244"/>
  <sheetViews>
    <sheetView tabSelected="1" workbookViewId="0">
      <selection activeCell="F4" sqref="F4"/>
    </sheetView>
  </sheetViews>
  <sheetFormatPr baseColWidth="10" defaultRowHeight="12.75" x14ac:dyDescent="0.2"/>
  <cols>
    <col min="1" max="1" width="16.7109375" bestFit="1" customWidth="1"/>
    <col min="2" max="2" width="50.7109375" bestFit="1" customWidth="1"/>
    <col min="3" max="3" width="14.5703125" bestFit="1" customWidth="1"/>
    <col min="4" max="4" width="19" bestFit="1" customWidth="1"/>
  </cols>
  <sheetData>
    <row r="1" spans="1:4" x14ac:dyDescent="0.2">
      <c r="A1" s="1" t="str">
        <f>"Artikelnummer"</f>
        <v>Artikelnummer</v>
      </c>
      <c r="B1" s="1" t="str">
        <f>"Matchcode"</f>
        <v>Matchcode</v>
      </c>
      <c r="C1" s="1" t="str">
        <f>"Akt. Bestand"</f>
        <v>Akt. Bestand</v>
      </c>
      <c r="D1" s="1" t="s">
        <v>0</v>
      </c>
    </row>
    <row r="2" spans="1:4" x14ac:dyDescent="0.2">
      <c r="A2" t="str">
        <f>"00096688"</f>
        <v>00096688</v>
      </c>
      <c r="B2" t="str">
        <f>"6010 PERI Gitterträger GT 24, L=0,90m (Medium)"</f>
        <v>6010 PERI Gitterträger GT 24, L=0,90m (Medium)</v>
      </c>
      <c r="C2" s="2">
        <v>11</v>
      </c>
    </row>
    <row r="3" spans="1:4" x14ac:dyDescent="0.2">
      <c r="A3" t="str">
        <f>"00096689"</f>
        <v>00096689</v>
      </c>
      <c r="B3" t="str">
        <f>"6020 PERI Gitterträger GT 24, L=1,20m (Medium)"</f>
        <v>6020 PERI Gitterträger GT 24, L=1,20m (Medium)</v>
      </c>
      <c r="C3" s="2">
        <v>138</v>
      </c>
    </row>
    <row r="4" spans="1:4" x14ac:dyDescent="0.2">
      <c r="A4" t="str">
        <f>"00096691"</f>
        <v>00096691</v>
      </c>
      <c r="B4" t="str">
        <f>"6040 PERI Gitterträger GT 24, L=1,80m (Medium)"</f>
        <v>6040 PERI Gitterträger GT 24, L=1,80m (Medium)</v>
      </c>
      <c r="C4" s="2">
        <v>25</v>
      </c>
    </row>
    <row r="5" spans="1:4" x14ac:dyDescent="0.2">
      <c r="A5" t="str">
        <f>"00096692"</f>
        <v>00096692</v>
      </c>
      <c r="B5" t="str">
        <f>"6050 PERI Gitterträger GT 24, L=2,10m (Medium)"</f>
        <v>6050 PERI Gitterträger GT 24, L=2,10m (Medium)</v>
      </c>
      <c r="C5" s="2">
        <v>3</v>
      </c>
    </row>
    <row r="6" spans="1:4" x14ac:dyDescent="0.2">
      <c r="A6" t="str">
        <f>"00096693"</f>
        <v>00096693</v>
      </c>
      <c r="B6" t="str">
        <f>"6060 PERI Gitterträger GT 24, L=2,40m (Medium)"</f>
        <v>6060 PERI Gitterträger GT 24, L=2,40m (Medium)</v>
      </c>
      <c r="C6" s="2">
        <v>191</v>
      </c>
    </row>
    <row r="7" spans="1:4" x14ac:dyDescent="0.2">
      <c r="A7" t="str">
        <f>"00096695"</f>
        <v>00096695</v>
      </c>
      <c r="B7" t="str">
        <f>"6080 PERI Gitterträger GT 24, L=3,00m (Medium)"</f>
        <v>6080 PERI Gitterträger GT 24, L=3,00m (Medium)</v>
      </c>
      <c r="C7" s="2">
        <v>212</v>
      </c>
    </row>
    <row r="8" spans="1:4" x14ac:dyDescent="0.2">
      <c r="A8" t="str">
        <f>"00096698"</f>
        <v>00096698</v>
      </c>
      <c r="B8" t="str">
        <f>"6110 PERI Gitterträger GT 24, L=3,90m (Medium)"</f>
        <v>6110 PERI Gitterträger GT 24, L=3,90m (Medium)</v>
      </c>
      <c r="C8" s="2">
        <v>432</v>
      </c>
    </row>
    <row r="9" spans="1:4" x14ac:dyDescent="0.2">
      <c r="A9" t="str">
        <f>"00096700"</f>
        <v>00096700</v>
      </c>
      <c r="B9" t="str">
        <f>"6130 PERI Gitterträger GT 24, L=4,50m (Medium)"</f>
        <v>6130 PERI Gitterträger GT 24, L=4,50m (Medium)</v>
      </c>
      <c r="C9" s="2">
        <v>278</v>
      </c>
    </row>
    <row r="10" spans="1:4" x14ac:dyDescent="0.2">
      <c r="A10" t="str">
        <f>"00096701"</f>
        <v>00096701</v>
      </c>
      <c r="B10" t="str">
        <f>"6140 PERI Gitterträger GT 24, L=4,80m (Medium)"</f>
        <v>6140 PERI Gitterträger GT 24, L=4,80m (Medium)</v>
      </c>
      <c r="C10" s="2">
        <v>3</v>
      </c>
    </row>
    <row r="11" spans="1:4" x14ac:dyDescent="0.2">
      <c r="A11" t="str">
        <f>"00096702"</f>
        <v>00096702</v>
      </c>
      <c r="B11" t="str">
        <f>"6150 PERI Gitterträger GT 24, L=5,10m (Medium)"</f>
        <v>6150 PERI Gitterträger GT 24, L=5,10m (Medium)</v>
      </c>
      <c r="C11" s="2">
        <v>259</v>
      </c>
    </row>
    <row r="12" spans="1:4" x14ac:dyDescent="0.2">
      <c r="A12" t="str">
        <f>"00096703"</f>
        <v>00096703</v>
      </c>
      <c r="B12" t="str">
        <f>"6160 PERI Gitterträger GT 24, L=5,40m (Medium)"</f>
        <v>6160 PERI Gitterträger GT 24, L=5,40m (Medium)</v>
      </c>
      <c r="C12" s="2">
        <v>542</v>
      </c>
    </row>
    <row r="13" spans="1:4" x14ac:dyDescent="0.2">
      <c r="A13" t="str">
        <f>"00096704"</f>
        <v>00096704</v>
      </c>
      <c r="B13" t="str">
        <f>"6170 PERI Gitterträger GT 24, L=5,70m (Medium)"</f>
        <v>6170 PERI Gitterträger GT 24, L=5,70m (Medium)</v>
      </c>
      <c r="C13" s="2">
        <v>9</v>
      </c>
    </row>
    <row r="14" spans="1:4" x14ac:dyDescent="0.2">
      <c r="A14" t="str">
        <f>"00096705"</f>
        <v>00096705</v>
      </c>
      <c r="B14" t="str">
        <f>"6180 PERI Gitterträger GT 24, L=6,00m (Medium)"</f>
        <v>6180 PERI Gitterträger GT 24, L=6,00m (Medium)</v>
      </c>
      <c r="C14" s="2">
        <v>270</v>
      </c>
    </row>
    <row r="15" spans="1:4" x14ac:dyDescent="0.2">
      <c r="A15" t="str">
        <f>"00096707"</f>
        <v>00096707</v>
      </c>
      <c r="B15" t="str">
        <f>"7501 PERI Träger VT 20K, L=1,45m (Medium)"</f>
        <v>7501 PERI Träger VT 20K, L=1,45m (Medium)</v>
      </c>
      <c r="C15" s="2">
        <v>84</v>
      </c>
    </row>
    <row r="16" spans="1:4" x14ac:dyDescent="0.2">
      <c r="A16" t="str">
        <f>"00096709"</f>
        <v>00096709</v>
      </c>
      <c r="B16" t="str">
        <f>"7510 PERI Träger VT 20K, L=2,45m (Medium)"</f>
        <v>7510 PERI Träger VT 20K, L=2,45m (Medium)</v>
      </c>
      <c r="C16" s="2">
        <v>2</v>
      </c>
    </row>
    <row r="17" spans="1:3" x14ac:dyDescent="0.2">
      <c r="A17" t="str">
        <f>"00096710"</f>
        <v>00096710</v>
      </c>
      <c r="B17" t="str">
        <f>"7515 PERI Träger VT 20K, L=2,65m (Medium)"</f>
        <v>7515 PERI Träger VT 20K, L=2,65m (Medium)</v>
      </c>
      <c r="C17" s="2">
        <v>196</v>
      </c>
    </row>
    <row r="18" spans="1:3" x14ac:dyDescent="0.2">
      <c r="A18" t="str">
        <f>"00096711"</f>
        <v>00096711</v>
      </c>
      <c r="B18" t="str">
        <f>"7520 PERI Träger VT 20K, L=2,90m (Medium)"</f>
        <v>7520 PERI Träger VT 20K, L=2,90m (Medium)</v>
      </c>
      <c r="C18" s="2">
        <v>80</v>
      </c>
    </row>
    <row r="19" spans="1:3" x14ac:dyDescent="0.2">
      <c r="A19" t="str">
        <f>"00096712"</f>
        <v>00096712</v>
      </c>
      <c r="B19" t="str">
        <f>"7525 PERI Träger VT 20K, L=3,30m (Medium)"</f>
        <v>7525 PERI Träger VT 20K, L=3,30m (Medium)</v>
      </c>
      <c r="C19" s="2">
        <v>7</v>
      </c>
    </row>
    <row r="20" spans="1:3" x14ac:dyDescent="0.2">
      <c r="A20" t="str">
        <f>"00096713"</f>
        <v>00096713</v>
      </c>
      <c r="B20" t="str">
        <f>"7530 PERI Träger VT 20K, L=3,60m (Medium)"</f>
        <v>7530 PERI Träger VT 20K, L=3,60m (Medium)</v>
      </c>
      <c r="C20" s="2">
        <v>12</v>
      </c>
    </row>
    <row r="21" spans="1:3" x14ac:dyDescent="0.2">
      <c r="A21" t="str">
        <f>"00096714"</f>
        <v>00096714</v>
      </c>
      <c r="B21" t="str">
        <f>"7535 PERI Träger VT 20K, L=3,90m (Medium)"</f>
        <v>7535 PERI Träger VT 20K, L=3,90m (Medium)</v>
      </c>
      <c r="C21" s="2">
        <v>50</v>
      </c>
    </row>
    <row r="22" spans="1:3" x14ac:dyDescent="0.2">
      <c r="A22" t="str">
        <f>"00401290"</f>
        <v>00401290</v>
      </c>
      <c r="B22" t="str">
        <f>"Geländerpfosten HSGP-2 (Medium)"</f>
        <v>Geländerpfosten HSGP-2 (Medium)</v>
      </c>
      <c r="C22" s="2">
        <v>83</v>
      </c>
    </row>
    <row r="23" spans="1:3" x14ac:dyDescent="0.2">
      <c r="A23" t="str">
        <f>"01701000"</f>
        <v>01701000</v>
      </c>
      <c r="B23" t="str">
        <f>"PERI UP Drehkupplung DK 48/48 verz. SW 19"</f>
        <v>PERI UP Drehkupplung DK 48/48 verz. SW 19</v>
      </c>
      <c r="C23" s="2">
        <v>10</v>
      </c>
    </row>
    <row r="24" spans="1:3" x14ac:dyDescent="0.2">
      <c r="A24" t="str">
        <f>"02355100"</f>
        <v>02355100</v>
      </c>
      <c r="B24" t="str">
        <f>"0310 PERI Riegel 85 (Medium)"</f>
        <v>0310 PERI Riegel 85 (Medium)</v>
      </c>
      <c r="C24" s="2">
        <v>278</v>
      </c>
    </row>
    <row r="25" spans="1:3" x14ac:dyDescent="0.2">
      <c r="A25" t="str">
        <f>"02366000"</f>
        <v>02366000</v>
      </c>
      <c r="B25" t="str">
        <f>"PERI TRIO Klemmkopf-2 verz. (Medium)"</f>
        <v>PERI TRIO Klemmkopf-2 verz. (Medium)</v>
      </c>
      <c r="C25" s="2">
        <v>2</v>
      </c>
    </row>
    <row r="26" spans="1:3" x14ac:dyDescent="0.2">
      <c r="A26" t="str">
        <f>"02731000"</f>
        <v>02731000</v>
      </c>
      <c r="B26" t="str">
        <f>"0230 PERI Fuß MP 50 (Medium)"</f>
        <v>0230 PERI Fuß MP 50 (Medium)</v>
      </c>
      <c r="C26" s="2">
        <v>176</v>
      </c>
    </row>
    <row r="27" spans="1:3" x14ac:dyDescent="0.2">
      <c r="A27" t="str">
        <f>"02750000"</f>
        <v>02750000</v>
      </c>
      <c r="B27" t="str">
        <f>"1740 PERI Stützbock SB-1 (Medium)"</f>
        <v>1740 PERI Stützbock SB-1 (Medium)</v>
      </c>
      <c r="C27" s="2">
        <v>2</v>
      </c>
    </row>
    <row r="28" spans="1:3" x14ac:dyDescent="0.2">
      <c r="A28" t="str">
        <f>"06102800"</f>
        <v>06102800</v>
      </c>
      <c r="B28" t="str">
        <f>"0320 PERI Abdeckleiste SAL 150/27 - CH/AT (Medium)"</f>
        <v>0320 PERI Abdeckleiste SAL 150/27 - CH/AT (Medium)</v>
      </c>
      <c r="C28" s="2">
        <v>139</v>
      </c>
    </row>
    <row r="29" spans="1:3" x14ac:dyDescent="0.2">
      <c r="A29" t="str">
        <f>"06105300"</f>
        <v>06105300</v>
      </c>
      <c r="B29" t="str">
        <f>"0340 PERI Abdeckleiste SAL 50/27 - CH/AT (Medium)"</f>
        <v>0340 PERI Abdeckleiste SAL 50/27 - CH/AT (Medium)</v>
      </c>
      <c r="C29" s="2">
        <v>28</v>
      </c>
    </row>
    <row r="30" spans="1:3" x14ac:dyDescent="0.2">
      <c r="A30" t="str">
        <f>"06126000"</f>
        <v>06126000</v>
      </c>
      <c r="B30" t="str">
        <f>"0370 PERI Geländerpfosten SGP  (Medium)"</f>
        <v>0370 PERI Geländerpfosten SGP  (Medium)</v>
      </c>
      <c r="C30" s="2">
        <v>404</v>
      </c>
    </row>
    <row r="31" spans="1:3" x14ac:dyDescent="0.2">
      <c r="A31" t="str">
        <f>"06141001"</f>
        <v>06141001</v>
      </c>
      <c r="B31" t="str">
        <f>"0270 PERI Universaldreibein (Medium)"</f>
        <v>0270 PERI Universaldreibein (Medium)</v>
      </c>
      <c r="C31" s="2">
        <v>60</v>
      </c>
    </row>
    <row r="32" spans="1:3" x14ac:dyDescent="0.2">
      <c r="A32" t="str">
        <f>"07896566"</f>
        <v>07896566</v>
      </c>
      <c r="B32" t="str">
        <f>"0330 PERI Abdeckleiste SAL 75 21mm (Medium)"</f>
        <v>0330 PERI Abdeckleiste SAL 75 21mm (Medium)</v>
      </c>
      <c r="C32" s="2">
        <v>96</v>
      </c>
    </row>
    <row r="33" spans="1:3" x14ac:dyDescent="0.2">
      <c r="A33" t="str">
        <f>"07896567"</f>
        <v>07896567</v>
      </c>
      <c r="B33" t="str">
        <f>"0340 PERI Abdeckleiste SAL 50 21mm (Medium)"</f>
        <v>0340 PERI Abdeckleiste SAL 50 21mm (Medium)</v>
      </c>
      <c r="C33" s="2">
        <v>23</v>
      </c>
    </row>
    <row r="34" spans="1:3" x14ac:dyDescent="0.2">
      <c r="A34" t="str">
        <f>"07896573"</f>
        <v>07896573</v>
      </c>
      <c r="B34" t="str">
        <f>"0160 PERI Stützkopf SSK (Medium)"</f>
        <v>0160 PERI Stützkopf SSK (Medium)</v>
      </c>
      <c r="C34" s="2">
        <v>135</v>
      </c>
    </row>
    <row r="35" spans="1:3" x14ac:dyDescent="0.2">
      <c r="A35" t="str">
        <f>"07896574"</f>
        <v>07896574</v>
      </c>
      <c r="B35" t="str">
        <f>"0170 PERI Combikopf SCK (Medium)"</f>
        <v>0170 PERI Combikopf SCK (Medium)</v>
      </c>
      <c r="C35" s="2">
        <v>1501</v>
      </c>
    </row>
    <row r="36" spans="1:3" x14ac:dyDescent="0.2">
      <c r="A36" t="str">
        <f>"07896617"</f>
        <v>07896617</v>
      </c>
      <c r="B36" t="str">
        <f>"0010 PERI SKYDECK Paneel SDP 150x75 (Medium)"</f>
        <v>0010 PERI SKYDECK Paneel SDP 150x75 (Medium)</v>
      </c>
      <c r="C36" s="2">
        <v>710</v>
      </c>
    </row>
    <row r="37" spans="1:3" x14ac:dyDescent="0.2">
      <c r="A37" t="str">
        <f>"07896618"</f>
        <v>07896618</v>
      </c>
      <c r="B37" t="str">
        <f>"0020 PERI SKYDECK Paneel SDP 150x50 (Medium)"</f>
        <v>0020 PERI SKYDECK Paneel SDP 150x50 (Medium)</v>
      </c>
      <c r="C37" s="2">
        <v>34</v>
      </c>
    </row>
    <row r="38" spans="1:3" x14ac:dyDescent="0.2">
      <c r="A38" t="str">
        <f>"07896620"</f>
        <v>07896620</v>
      </c>
      <c r="B38" t="str">
        <f>"0040 PERI SKYDECK Paneel SDP 75x75 (Medium)"</f>
        <v>0040 PERI SKYDECK Paneel SDP 75x75 (Medium)</v>
      </c>
      <c r="C38" s="2">
        <v>18</v>
      </c>
    </row>
    <row r="39" spans="1:3" x14ac:dyDescent="0.2">
      <c r="A39" t="str">
        <f>"07896624"</f>
        <v>07896624</v>
      </c>
      <c r="B39" t="str">
        <f>"0030 PERI SKYDECK Paneel SDP 150x37,5 (Medium)"</f>
        <v>0030 PERI SKYDECK Paneel SDP 150x37,5 (Medium)</v>
      </c>
      <c r="C39" s="2">
        <v>2</v>
      </c>
    </row>
    <row r="40" spans="1:3" x14ac:dyDescent="0.2">
      <c r="A40" t="str">
        <f>"07896628"</f>
        <v>07896628</v>
      </c>
      <c r="B40" t="str">
        <f>"0210 PERI SKYDECK Stirnlager SSL (Medium)"</f>
        <v>0210 PERI SKYDECK Stirnlager SSL (Medium)</v>
      </c>
      <c r="C40" s="2">
        <v>16</v>
      </c>
    </row>
    <row r="41" spans="1:3" x14ac:dyDescent="0.2">
      <c r="A41" t="str">
        <f>"07896629"</f>
        <v>07896629</v>
      </c>
      <c r="B41" t="str">
        <f>"0230 PERI SKYDECK Abspannöse SAO  (Medium)"</f>
        <v>0230 PERI SKYDECK Abspannöse SAO  (Medium)</v>
      </c>
      <c r="C41" s="2">
        <v>552</v>
      </c>
    </row>
    <row r="42" spans="1:3" x14ac:dyDescent="0.2">
      <c r="A42" t="str">
        <f>"07896630"</f>
        <v>07896630</v>
      </c>
      <c r="B42" t="str">
        <f>"0200 PERI SKYDECK Wandhalter SWH-2 (Medium)"</f>
        <v>0200 PERI SKYDECK Wandhalter SWH-2 (Medium)</v>
      </c>
      <c r="C42" s="2">
        <v>367</v>
      </c>
    </row>
    <row r="43" spans="1:3" x14ac:dyDescent="0.2">
      <c r="A43" t="str">
        <f>"07896641"</f>
        <v>07896641</v>
      </c>
      <c r="B43" t="str">
        <f>"0320 PERI Abdeckleiste SAL 150 21mm (Medium)"</f>
        <v>0320 PERI Abdeckleiste SAL 150 21mm (Medium)</v>
      </c>
      <c r="C43" s="2">
        <v>980</v>
      </c>
    </row>
    <row r="44" spans="1:3" x14ac:dyDescent="0.2">
      <c r="A44" t="str">
        <f>"07896642"</f>
        <v>07896642</v>
      </c>
      <c r="B44" t="str">
        <f>"0280 PERI SKYDECK Paneelklammer SPK (Medium)"</f>
        <v>0280 PERI SKYDECK Paneelklammer SPK (Medium)</v>
      </c>
      <c r="C44" s="2">
        <v>38</v>
      </c>
    </row>
    <row r="45" spans="1:3" x14ac:dyDescent="0.2">
      <c r="A45" t="str">
        <f>"07896643"</f>
        <v>07896643</v>
      </c>
      <c r="B45" t="str">
        <f>"0290 PERI SKYDECK Paneelkeilklammer SPKK (Medium)"</f>
        <v>0290 PERI SKYDECK Paneelkeilklammer SPKK (Medium)</v>
      </c>
      <c r="C45" s="2">
        <v>235</v>
      </c>
    </row>
    <row r="46" spans="1:3" x14ac:dyDescent="0.2">
      <c r="A46" t="str">
        <f>"07896653"</f>
        <v>07896653</v>
      </c>
      <c r="B46" t="str">
        <f>"0230 PERI Passholz SPH 225 (Medium)"</f>
        <v>0230 PERI Passholz SPH 225 (Medium)</v>
      </c>
      <c r="C46" s="2">
        <v>14</v>
      </c>
    </row>
    <row r="47" spans="1:3" x14ac:dyDescent="0.2">
      <c r="A47" t="str">
        <f>"07896661"</f>
        <v>07896661</v>
      </c>
      <c r="B47" t="str">
        <f>"0360 PERI SKYDECK Geländerhalter SGH  (Medium)"</f>
        <v>0360 PERI SKYDECK Geländerhalter SGH  (Medium)</v>
      </c>
      <c r="C47" s="2">
        <v>74</v>
      </c>
    </row>
    <row r="48" spans="1:3" x14ac:dyDescent="0.2">
      <c r="A48" t="str">
        <f>"10008800"</f>
        <v>10008800</v>
      </c>
      <c r="B48" t="str">
        <f>"Gerüsthalter UWT 45 (Neuware)"</f>
        <v>Gerüsthalter UWT 45 (Neuware)</v>
      </c>
      <c r="C48" s="2">
        <v>450</v>
      </c>
    </row>
    <row r="49" spans="1:3" x14ac:dyDescent="0.2">
      <c r="A49" t="str">
        <f>"10009100"</f>
        <v>10009100</v>
      </c>
      <c r="B49" t="str">
        <f>"Gerüsthalter UWT 110 (Neuware)"</f>
        <v>Gerüsthalter UWT 110 (Neuware)</v>
      </c>
      <c r="C49" s="2">
        <v>250</v>
      </c>
    </row>
    <row r="50" spans="1:3" x14ac:dyDescent="0.2">
      <c r="A50" t="str">
        <f>"10009300"</f>
        <v>10009300</v>
      </c>
      <c r="B50" t="str">
        <f>"Gerüsthalter UWT 140 (Neuware)"</f>
        <v>Gerüsthalter UWT 140 (Neuware)</v>
      </c>
      <c r="C50" s="2">
        <v>162</v>
      </c>
    </row>
    <row r="51" spans="1:3" x14ac:dyDescent="0.2">
      <c r="A51" t="str">
        <f>"10015900"</f>
        <v>10015900</v>
      </c>
      <c r="B51" t="str">
        <f>"Gelenkfussspindel UJS 38-80/50 (Neuware)"</f>
        <v>Gelenkfussspindel UJS 38-80/50 (Neuware)</v>
      </c>
      <c r="C51" s="2">
        <v>140</v>
      </c>
    </row>
    <row r="52" spans="1:3" x14ac:dyDescent="0.2">
      <c r="A52" t="str">
        <f>"10024200"</f>
        <v>10024200</v>
      </c>
      <c r="B52" t="str">
        <f>"Fussspindel UJB 38-80/55 (Neuware)"</f>
        <v>Fussspindel UJB 38-80/55 (Neuware)</v>
      </c>
      <c r="C52" s="2">
        <v>124</v>
      </c>
    </row>
    <row r="53" spans="1:3" x14ac:dyDescent="0.2">
      <c r="A53" t="str">
        <f>"10041100"</f>
        <v>10041100</v>
      </c>
      <c r="B53" t="str">
        <f>"Fussspindel UJB 38-50/30 (Neuware)"</f>
        <v>Fussspindel UJB 38-50/30 (Neuware)</v>
      </c>
      <c r="C53" s="2">
        <v>164</v>
      </c>
    </row>
    <row r="54" spans="1:3" x14ac:dyDescent="0.2">
      <c r="A54" t="str">
        <f>"10295100"</f>
        <v>10295100</v>
      </c>
      <c r="B54" t="str">
        <f>"Gerüsthalter UWT 170 (Neuware)"</f>
        <v>Gerüsthalter UWT 170 (Neuware)</v>
      </c>
      <c r="C54" s="2">
        <v>162</v>
      </c>
    </row>
    <row r="55" spans="1:3" x14ac:dyDescent="0.2">
      <c r="A55" t="str">
        <f>"10295400"</f>
        <v>10295400</v>
      </c>
      <c r="B55" t="str">
        <f>"Gerüsthalter UWT 220 (Neuware)"</f>
        <v>Gerüsthalter UWT 220 (Neuware)</v>
      </c>
      <c r="C55" s="2">
        <v>162</v>
      </c>
    </row>
    <row r="56" spans="1:3" x14ac:dyDescent="0.2">
      <c r="A56" t="str">
        <f>"10295700"</f>
        <v>10295700</v>
      </c>
      <c r="B56" t="str">
        <f>"Gerüsthalter UWT 270 (Neuware)"</f>
        <v>Gerüsthalter UWT 270 (Neuware)</v>
      </c>
      <c r="C56" s="2">
        <v>115</v>
      </c>
    </row>
    <row r="57" spans="1:3" x14ac:dyDescent="0.2">
      <c r="A57" t="str">
        <f>"11384701"</f>
        <v>11384701</v>
      </c>
      <c r="B57" t="str">
        <f>"0820 PERI MAXIMO 15 Anker 15-25 (Neuware)"</f>
        <v>0820 PERI MAXIMO 15 Anker 15-25 (Neuware)</v>
      </c>
      <c r="C57" s="2">
        <v>100</v>
      </c>
    </row>
    <row r="58" spans="1:3" x14ac:dyDescent="0.2">
      <c r="A58" t="str">
        <f>"11701000"</f>
        <v>11701000</v>
      </c>
      <c r="B58" t="str">
        <f>"Drehkupplung SW Ø 48/48mm vz (Neuware)"</f>
        <v>Drehkupplung SW Ø 48/48mm vz (Neuware)</v>
      </c>
      <c r="C58" s="2">
        <v>499</v>
      </c>
    </row>
    <row r="59" spans="1:3" x14ac:dyDescent="0.2">
      <c r="A59" t="str">
        <f>"11732600"</f>
        <v>11732600</v>
      </c>
      <c r="B59" t="str">
        <f>"PERI Seitenschutzgitter PMB 260 (Neuware)"</f>
        <v>PERI Seitenschutzgitter PMB 260 (Neuware)</v>
      </c>
      <c r="C59" s="2">
        <v>13</v>
      </c>
    </row>
    <row r="60" spans="1:3" x14ac:dyDescent="0.2">
      <c r="A60" t="str">
        <f>"12368100"</f>
        <v>12368100</v>
      </c>
      <c r="B60" t="str">
        <f>"PERI Seitenschutzgitter PMB 90 (Neuware)"</f>
        <v>PERI Seitenschutzgitter PMB 90 (Neuware)</v>
      </c>
      <c r="C60" s="2">
        <v>363</v>
      </c>
    </row>
    <row r="61" spans="1:3" x14ac:dyDescent="0.2">
      <c r="A61" t="str">
        <f>"12390200"</f>
        <v>12390200</v>
      </c>
      <c r="B61" t="str">
        <f>"0820 PERI MAXIMO 18 Anker 20-30 (Neuware)"</f>
        <v>0820 PERI MAXIMO 18 Anker 20-30 (Neuware)</v>
      </c>
      <c r="C61" s="2">
        <v>171</v>
      </c>
    </row>
    <row r="62" spans="1:3" x14ac:dyDescent="0.2">
      <c r="A62" t="str">
        <f>"12637600"</f>
        <v>12637600</v>
      </c>
      <c r="B62" t="str">
        <f>"PERI Seitenschutzgitter PMB 120 (Neuware)"</f>
        <v>PERI Seitenschutzgitter PMB 120 (Neuware)</v>
      </c>
      <c r="C62" s="2">
        <v>337</v>
      </c>
    </row>
    <row r="63" spans="1:3" x14ac:dyDescent="0.2">
      <c r="A63" t="str">
        <f>"12927200"</f>
        <v>12927200</v>
      </c>
      <c r="B63" t="str">
        <f>"PERI UP Easy Stahlbelag EDS 33 x 300"</f>
        <v>PERI UP Easy Stahlbelag EDS 33 x 300</v>
      </c>
      <c r="C63" s="2">
        <v>10</v>
      </c>
    </row>
    <row r="64" spans="1:3" x14ac:dyDescent="0.2">
      <c r="A64" t="str">
        <f>"13043800"</f>
        <v>13043800</v>
      </c>
      <c r="B64" t="str">
        <f>"PERI UP Easy Stahlbelag EDS 33 x 250"</f>
        <v>PERI UP Easy Stahlbelag EDS 33 x 250</v>
      </c>
      <c r="C64" s="2">
        <v>4</v>
      </c>
    </row>
    <row r="65" spans="1:3" x14ac:dyDescent="0.2">
      <c r="A65" t="str">
        <f>"13384100"</f>
        <v>13384100</v>
      </c>
      <c r="B65" t="str">
        <f>"PERI Seitenschutzgitter-2 PMB S 240 (Neuware)"</f>
        <v>PERI Seitenschutzgitter-2 PMB S 240 (Neuware)</v>
      </c>
      <c r="C65" s="2">
        <v>6</v>
      </c>
    </row>
    <row r="66" spans="1:3" x14ac:dyDescent="0.2">
      <c r="A66" t="str">
        <f>"13417700"</f>
        <v>13417700</v>
      </c>
      <c r="B66" t="str">
        <f>"Spindelunterlage UES (Neuware)"</f>
        <v>Spindelunterlage UES (Neuware)</v>
      </c>
      <c r="C66" s="2">
        <v>68</v>
      </c>
    </row>
    <row r="67" spans="1:3" x14ac:dyDescent="0.2">
      <c r="A67" t="str">
        <f>"13828500"</f>
        <v>13828500</v>
      </c>
      <c r="B67" t="str">
        <f>"Gerüsthalter UWT 70 (Neuware)"</f>
        <v>Gerüsthalter UWT 70 (Neuware)</v>
      </c>
      <c r="C67" s="2">
        <v>196</v>
      </c>
    </row>
    <row r="68" spans="1:3" x14ac:dyDescent="0.2">
      <c r="A68" t="str">
        <f>"15896780"</f>
        <v>15896780</v>
      </c>
      <c r="B68" t="str">
        <f>"0080 PERI Deckenstütze PEP Ergo E-300+ (Medium)"</f>
        <v>0080 PERI Deckenstütze PEP Ergo E-300+ (Medium)</v>
      </c>
      <c r="C68" s="2">
        <v>1848</v>
      </c>
    </row>
    <row r="69" spans="1:3" x14ac:dyDescent="0.2">
      <c r="A69" t="str">
        <f>"17020000"</f>
        <v>17020000</v>
      </c>
      <c r="B69" t="str">
        <f>"Normalkupplung RA Ø48/48mm vz (Neuware)"</f>
        <v>Normalkupplung RA Ø48/48mm vz (Neuware)</v>
      </c>
      <c r="C69" s="2">
        <v>500</v>
      </c>
    </row>
    <row r="70" spans="1:3" x14ac:dyDescent="0.2">
      <c r="A70" t="str">
        <f>"18000027"</f>
        <v>18000027</v>
      </c>
      <c r="B70" t="str">
        <f>"0290 PERI TRIO TR 120x120 (Medium)"</f>
        <v>0290 PERI TRIO TR 120x120 (Medium)</v>
      </c>
      <c r="C70" s="2">
        <v>4</v>
      </c>
    </row>
    <row r="71" spans="1:3" x14ac:dyDescent="0.2">
      <c r="A71" t="str">
        <f>"18000030"</f>
        <v>18000030</v>
      </c>
      <c r="B71" t="str">
        <f>"0320 PERI TRIO TRM 120x72 (Medium)"</f>
        <v>0320 PERI TRIO TRM 120x72 (Medium)</v>
      </c>
      <c r="C71" s="2">
        <v>2</v>
      </c>
    </row>
    <row r="72" spans="1:3" x14ac:dyDescent="0.2">
      <c r="A72" t="str">
        <f>"18000032"</f>
        <v>18000032</v>
      </c>
      <c r="B72" t="str">
        <f>"0340 PERI TRIO TR 120x30 (Medium)"</f>
        <v>0340 PERI TRIO TR 120x30 (Medium)</v>
      </c>
      <c r="C72" s="2">
        <v>23</v>
      </c>
    </row>
    <row r="73" spans="1:3" x14ac:dyDescent="0.2">
      <c r="A73" t="str">
        <f>"18000034"</f>
        <v>18000034</v>
      </c>
      <c r="B73" t="str">
        <f>"0360 PERI TRIO TGE 120 (Medium)"</f>
        <v>0360 PERI TRIO TGE 120 (Medium)</v>
      </c>
      <c r="C73" s="2">
        <v>43</v>
      </c>
    </row>
    <row r="74" spans="1:3" x14ac:dyDescent="0.2">
      <c r="A74" t="str">
        <f>"18000038"</f>
        <v>18000038</v>
      </c>
      <c r="B74" t="str">
        <f>"0400 PERI TRIO TR 60x90 (Medium)"</f>
        <v>0400 PERI TRIO TR 60x90 (Medium)</v>
      </c>
      <c r="C74" s="2">
        <v>75</v>
      </c>
    </row>
    <row r="75" spans="1:3" x14ac:dyDescent="0.2">
      <c r="A75" t="str">
        <f>"18000039"</f>
        <v>18000039</v>
      </c>
      <c r="B75" t="str">
        <f>"0410 PERI TRIO TR 60x72 (Medium)"</f>
        <v>0410 PERI TRIO TR 60x72 (Medium)</v>
      </c>
      <c r="C75" s="2">
        <v>95</v>
      </c>
    </row>
    <row r="76" spans="1:3" x14ac:dyDescent="0.2">
      <c r="A76" t="str">
        <f>"18000049"</f>
        <v>18000049</v>
      </c>
      <c r="B76" t="str">
        <f>"0560 PERI TRIO TAM 90x72 (Medium Alu)"</f>
        <v>0560 PERI TRIO TAM 90x72 (Medium Alu)</v>
      </c>
      <c r="C76" s="2">
        <v>36</v>
      </c>
    </row>
    <row r="77" spans="1:3" x14ac:dyDescent="0.2">
      <c r="A77" t="str">
        <f>"18000051"</f>
        <v>18000051</v>
      </c>
      <c r="B77" t="str">
        <f>"0580 PERI TRIO TRA 90x30 (Medium Alu)"</f>
        <v>0580 PERI TRIO TRA 90x30 (Medium Alu)</v>
      </c>
      <c r="C77" s="2">
        <v>36</v>
      </c>
    </row>
    <row r="78" spans="1:3" x14ac:dyDescent="0.2">
      <c r="A78" t="str">
        <f>"18000052"</f>
        <v>18000052</v>
      </c>
      <c r="B78" t="str">
        <f>"0590 PERI TRIO TAE 90 (Medium Alu) ############"</f>
        <v>0590 PERI TRIO TAE 90 (Medium Alu) ############</v>
      </c>
      <c r="C78" s="2">
        <v>22</v>
      </c>
    </row>
    <row r="79" spans="1:3" x14ac:dyDescent="0.2">
      <c r="A79" t="str">
        <f>"18900299"</f>
        <v>18900299</v>
      </c>
      <c r="B79" t="str">
        <f>"1290 Doka Stützbein (Medium)"</f>
        <v>1290 Doka Stützbein (Medium)</v>
      </c>
      <c r="C79" s="2">
        <v>650</v>
      </c>
    </row>
    <row r="80" spans="1:3" x14ac:dyDescent="0.2">
      <c r="A80" t="str">
        <f>"18900515"</f>
        <v>18900515</v>
      </c>
      <c r="B80" t="str">
        <f>"0050 PERI MULTIPROP MP625 (Medium)"</f>
        <v>0050 PERI MULTIPROP MP625 (Medium)</v>
      </c>
      <c r="C80" s="2">
        <v>125</v>
      </c>
    </row>
    <row r="81" spans="1:3" x14ac:dyDescent="0.2">
      <c r="A81" t="str">
        <f>"18901364"</f>
        <v>18901364</v>
      </c>
      <c r="B81" t="str">
        <f>"7000 Stahlriegel SRZ U100 = 1,20m (Medium)"</f>
        <v>7000 Stahlriegel SRZ U100 = 1,20m (Medium)</v>
      </c>
      <c r="C81" s="2">
        <v>115</v>
      </c>
    </row>
    <row r="82" spans="1:3" x14ac:dyDescent="0.2">
      <c r="A82" t="str">
        <f>"18901378"</f>
        <v>18901378</v>
      </c>
      <c r="B82" t="str">
        <f>"PERI Abstützverlängerung 300 FB-2 (Medium)"</f>
        <v>PERI Abstützverlängerung 300 FB-2 (Medium)</v>
      </c>
      <c r="C82" s="2">
        <v>20</v>
      </c>
    </row>
    <row r="83" spans="1:3" x14ac:dyDescent="0.2">
      <c r="A83" t="str">
        <f>"18901398"</f>
        <v>18901398</v>
      </c>
      <c r="B83" t="str">
        <f>"7000 Stahlriegel SRZ 195 (Medium)"</f>
        <v>7000 Stahlriegel SRZ 195 (Medium)</v>
      </c>
      <c r="C83" s="2">
        <v>55</v>
      </c>
    </row>
    <row r="84" spans="1:3" x14ac:dyDescent="0.2">
      <c r="A84" t="str">
        <f>"18901519"</f>
        <v>18901519</v>
      </c>
      <c r="B84" t="str">
        <f>"0345 PERI TRIO TR 120x24 (Medium)"</f>
        <v>0345 PERI TRIO TR 120x24 (Medium)</v>
      </c>
      <c r="C84" s="2">
        <v>7</v>
      </c>
    </row>
    <row r="85" spans="1:3" x14ac:dyDescent="0.2">
      <c r="A85" t="str">
        <f>"18909463"</f>
        <v>18909463</v>
      </c>
      <c r="B85" t="str">
        <f>"Stahlriegel SRZ U100 = 1,825m (Medium)"</f>
        <v>Stahlriegel SRZ U100 = 1,825m (Medium)</v>
      </c>
      <c r="C85" s="2">
        <v>21</v>
      </c>
    </row>
    <row r="86" spans="1:3" x14ac:dyDescent="0.2">
      <c r="A86" t="str">
        <f>"18909464"</f>
        <v>18909464</v>
      </c>
      <c r="B86" t="str">
        <f>"Stahlriegel SRZ U100 = 2,45m (Medium)"</f>
        <v>Stahlriegel SRZ U100 = 2,45m (Medium)</v>
      </c>
      <c r="C86" s="2">
        <v>383</v>
      </c>
    </row>
    <row r="87" spans="1:3" x14ac:dyDescent="0.2">
      <c r="A87" t="str">
        <f>"18930957"</f>
        <v>18930957</v>
      </c>
      <c r="B87" t="str">
        <f>"Stahlriegel SRZ U100 = 0,95m (Medium)"</f>
        <v>Stahlriegel SRZ U100 = 0,95m (Medium)</v>
      </c>
      <c r="C87" s="2">
        <v>237</v>
      </c>
    </row>
    <row r="88" spans="1:3" x14ac:dyDescent="0.2">
      <c r="A88" t="str">
        <f>"19000445"</f>
        <v>19000445</v>
      </c>
      <c r="B88" t="str">
        <f>"1743 PERI Stützbock SB-B  (Medium)"</f>
        <v>1743 PERI Stützbock SB-B  (Medium)</v>
      </c>
      <c r="C88" s="2">
        <v>20</v>
      </c>
    </row>
    <row r="89" spans="1:3" x14ac:dyDescent="0.2">
      <c r="A89" t="str">
        <f>"19000525"</f>
        <v>19000525</v>
      </c>
      <c r="B89" t="str">
        <f>"0120 3-S Platte 2000x500x21 (Neuware)"</f>
        <v>0120 3-S Platte 2000x500x21 (Neuware)</v>
      </c>
      <c r="C89" s="2">
        <v>1000</v>
      </c>
    </row>
    <row r="90" spans="1:3" x14ac:dyDescent="0.2">
      <c r="A90" t="str">
        <f>"19001039"</f>
        <v>19001039</v>
      </c>
      <c r="B90" t="str">
        <f>"0150 MRK-Rahmen 150 (Stahl) (Medium)"</f>
        <v>0150 MRK-Rahmen 150 (Stahl) (Medium)</v>
      </c>
      <c r="C90" s="2">
        <v>1190</v>
      </c>
    </row>
    <row r="91" spans="1:3" x14ac:dyDescent="0.2">
      <c r="A91" t="str">
        <f>"19001040"</f>
        <v>19001040</v>
      </c>
      <c r="B91" t="str">
        <f>"0170 MRK-Rahmen 225 (Alu) (Medium)"</f>
        <v>0170 MRK-Rahmen 225 (Alu) (Medium)</v>
      </c>
      <c r="C91" s="2">
        <v>336</v>
      </c>
    </row>
    <row r="92" spans="1:3" x14ac:dyDescent="0.2">
      <c r="A92" t="str">
        <f>"19001043"</f>
        <v>19001043</v>
      </c>
      <c r="B92" t="str">
        <f>"0110 MRK-Rahmen 75 (Stahl) (Medium)"</f>
        <v>0110 MRK-Rahmen 75 (Stahl) (Medium)</v>
      </c>
      <c r="C92" s="2">
        <v>492</v>
      </c>
    </row>
    <row r="93" spans="1:3" x14ac:dyDescent="0.2">
      <c r="A93" t="str">
        <f>"19001044"</f>
        <v>19001044</v>
      </c>
      <c r="B93" t="str">
        <f>"0140 PERI Randträger SRT-2 75 (Medium)"</f>
        <v>0140 PERI Randträger SRT-2 75 (Medium)</v>
      </c>
      <c r="C93" s="2">
        <v>143</v>
      </c>
    </row>
    <row r="94" spans="1:3" x14ac:dyDescent="0.2">
      <c r="A94" t="str">
        <f>"19422022"</f>
        <v>19422022</v>
      </c>
      <c r="B94" t="str">
        <f>"4020 Doka Eurex 20 300 (Medium)"</f>
        <v>4020 Doka Eurex 20 300 (Medium)</v>
      </c>
      <c r="C94" s="2">
        <v>80</v>
      </c>
    </row>
    <row r="95" spans="1:3" x14ac:dyDescent="0.2">
      <c r="A95" t="str">
        <f>"19999061"</f>
        <v>19999061</v>
      </c>
      <c r="B95" t="str">
        <f>"0280 PERI Keil K (Medium)"</f>
        <v>0280 PERI Keil K (Medium)</v>
      </c>
      <c r="C95" s="2">
        <v>200</v>
      </c>
    </row>
    <row r="96" spans="1:3" x14ac:dyDescent="0.2">
      <c r="A96" t="str">
        <f>"19999149"</f>
        <v>19999149</v>
      </c>
      <c r="B96" t="str">
        <f>"0130 PERI Randträger SRT-2 150 (Medium)"</f>
        <v>0130 PERI Randträger SRT-2 150 (Medium)</v>
      </c>
      <c r="C96" s="2">
        <v>64</v>
      </c>
    </row>
    <row r="97" spans="1:3" x14ac:dyDescent="0.2">
      <c r="A97" t="str">
        <f>"19999204"</f>
        <v>19999204</v>
      </c>
      <c r="B97" t="str">
        <f>"0200 MRK-Rahmen 266 (Alu) (Medium)"</f>
        <v>0200 MRK-Rahmen 266 (Alu) (Medium)</v>
      </c>
      <c r="C97" s="2">
        <v>168</v>
      </c>
    </row>
    <row r="98" spans="1:3" x14ac:dyDescent="0.2">
      <c r="A98" t="str">
        <f>"19999205"</f>
        <v>19999205</v>
      </c>
      <c r="B98" t="str">
        <f>"0190 MRK-Rahmen 237 (Alu) (Medium)"</f>
        <v>0190 MRK-Rahmen 237 (Alu) (Medium)</v>
      </c>
      <c r="C98" s="2">
        <v>200</v>
      </c>
    </row>
    <row r="99" spans="1:3" x14ac:dyDescent="0.2">
      <c r="A99" t="str">
        <f>"19999207"</f>
        <v>19999207</v>
      </c>
      <c r="B99" t="str">
        <f>"0160 MRK-Rahmen 201,5 (Alu) (Medium)"</f>
        <v>0160 MRK-Rahmen 201,5 (Alu) (Medium)</v>
      </c>
      <c r="C99" s="2">
        <v>612</v>
      </c>
    </row>
    <row r="100" spans="1:3" x14ac:dyDescent="0.2">
      <c r="A100" t="str">
        <f>"19999208"</f>
        <v>19999208</v>
      </c>
      <c r="B100" t="str">
        <f>"0140 MRK-Rahmen 137,5 (Stahl) (Medium)"</f>
        <v>0140 MRK-Rahmen 137,5 (Stahl) (Medium)</v>
      </c>
      <c r="C100" s="2">
        <v>334</v>
      </c>
    </row>
    <row r="101" spans="1:3" x14ac:dyDescent="0.2">
      <c r="A101" t="str">
        <f>"19999209"</f>
        <v>19999209</v>
      </c>
      <c r="B101" t="str">
        <f>"0130 MRK-Rahmen 120 (Stahl) (Medium)"</f>
        <v>0130 MRK-Rahmen 120 (Stahl) (Medium)</v>
      </c>
      <c r="C101" s="2">
        <v>590</v>
      </c>
    </row>
    <row r="102" spans="1:3" x14ac:dyDescent="0.2">
      <c r="A102" t="str">
        <f>"19999210"</f>
        <v>19999210</v>
      </c>
      <c r="B102" t="str">
        <f>"0120 MRK-Rahmen 90 (Stahl) (Medium)"</f>
        <v>0120 MRK-Rahmen 90 (Stahl) (Medium)</v>
      </c>
      <c r="C102" s="2">
        <v>556</v>
      </c>
    </row>
    <row r="103" spans="1:3" x14ac:dyDescent="0.2">
      <c r="A103" t="str">
        <f>"19999472"</f>
        <v>19999472</v>
      </c>
      <c r="B103" t="str">
        <f>"0010 PERI SKYDECK Paneel SDP 150x75 (Low)"</f>
        <v>0010 PERI SKYDECK Paneel SDP 150x75 (Low)</v>
      </c>
      <c r="C103" s="2">
        <v>75</v>
      </c>
    </row>
    <row r="104" spans="1:3" x14ac:dyDescent="0.2">
      <c r="A104" t="str">
        <f>"19999473"</f>
        <v>19999473</v>
      </c>
      <c r="B104" t="str">
        <f>"0020 PERI SKYDECK Paneel SDP 150x50 (Low)"</f>
        <v>0020 PERI SKYDECK Paneel SDP 150x50 (Low)</v>
      </c>
      <c r="C104" s="2">
        <v>8</v>
      </c>
    </row>
    <row r="105" spans="1:3" x14ac:dyDescent="0.2">
      <c r="A105" t="str">
        <f>"19999479"</f>
        <v>19999479</v>
      </c>
      <c r="B105" t="str">
        <f>"0040 PERI SKYDECK Paneel SDP 75x75 (Low)"</f>
        <v>0040 PERI SKYDECK Paneel SDP 75x75 (Low)</v>
      </c>
      <c r="C105" s="2">
        <v>238</v>
      </c>
    </row>
    <row r="106" spans="1:3" x14ac:dyDescent="0.2">
      <c r="A106" t="str">
        <f>"19999480"</f>
        <v>19999480</v>
      </c>
      <c r="B106" t="str">
        <f>"0050 PERI SKYDECK Paneel SDP 75x50 (Low)"</f>
        <v>0050 PERI SKYDECK Paneel SDP 75x50 (Low)</v>
      </c>
      <c r="C106" s="2">
        <v>19</v>
      </c>
    </row>
    <row r="107" spans="1:3" x14ac:dyDescent="0.2">
      <c r="A107" t="str">
        <f>"30306200"</f>
        <v>30306200</v>
      </c>
      <c r="B107" t="str">
        <f>"1100 PERI Deckenstütze PEP 30-300 (Medium)"</f>
        <v>1100 PERI Deckenstütze PEP 30-300 (Medium)</v>
      </c>
      <c r="C107" s="2">
        <v>87</v>
      </c>
    </row>
    <row r="108" spans="1:3" x14ac:dyDescent="0.2">
      <c r="A108" t="str">
        <f>"31702000"</f>
        <v>31702000</v>
      </c>
      <c r="B108" t="str">
        <f>"PERI UP Normalkupplung RA 48/48 verz. (GB)"</f>
        <v>PERI UP Normalkupplung RA 48/48 verz. (GB)</v>
      </c>
      <c r="C108" s="2">
        <v>39</v>
      </c>
    </row>
    <row r="109" spans="1:3" x14ac:dyDescent="0.2">
      <c r="A109" t="str">
        <f>"32421000"</f>
        <v>32421000</v>
      </c>
      <c r="B109" t="str">
        <f>"PERI Spannkralle SKZ (Medium)"</f>
        <v>PERI Spannkralle SKZ (Medium)</v>
      </c>
      <c r="C109" s="2">
        <v>400</v>
      </c>
    </row>
    <row r="110" spans="1:3" x14ac:dyDescent="0.2">
      <c r="A110" t="str">
        <f>"32422000"</f>
        <v>32422000</v>
      </c>
      <c r="B110" t="str">
        <f>"PERI Kupplungsdruckplatte KDP (Medium)"</f>
        <v>PERI Kupplungsdruckplatte KDP (Medium)</v>
      </c>
      <c r="C110" s="2">
        <v>50</v>
      </c>
    </row>
    <row r="111" spans="1:3" x14ac:dyDescent="0.2">
      <c r="A111" t="str">
        <f>"32572000"</f>
        <v>32572000</v>
      </c>
      <c r="B111" t="str">
        <f>"1743 PERI Stützbock SB-C  (Medium)"</f>
        <v>1743 PERI Stützbock SB-C  (Medium)</v>
      </c>
      <c r="C111" s="2">
        <v>18</v>
      </c>
    </row>
    <row r="112" spans="1:3" x14ac:dyDescent="0.2">
      <c r="A112" t="str">
        <f>"32664900"</f>
        <v>32664900</v>
      </c>
      <c r="B112" t="str">
        <f>"0010 PERI Falteckbühne FEB 180-3/300 (Medium)"</f>
        <v>0010 PERI Falteckbühne FEB 180-3/300 (Medium)</v>
      </c>
      <c r="C112" s="2">
        <v>7</v>
      </c>
    </row>
    <row r="113" spans="1:3" x14ac:dyDescent="0.2">
      <c r="A113" t="str">
        <f>"32765000"</f>
        <v>32765000</v>
      </c>
      <c r="B113" t="str">
        <f>"PERI Spannprofil U140 L=0,55m (Medium)"</f>
        <v>PERI Spannprofil U140 L=0,55m (Medium)</v>
      </c>
      <c r="C113" s="2">
        <v>18</v>
      </c>
    </row>
    <row r="114" spans="1:3" x14ac:dyDescent="0.2">
      <c r="A114" t="str">
        <f>"32786000"</f>
        <v>32786000</v>
      </c>
      <c r="B114" t="str">
        <f>"0270 PERI Dreibein vz (Medium)"</f>
        <v>0270 PERI Dreibein vz (Medium)</v>
      </c>
      <c r="C114" s="2">
        <v>840</v>
      </c>
    </row>
    <row r="115" spans="1:3" x14ac:dyDescent="0.2">
      <c r="A115" t="str">
        <f>"32803000"</f>
        <v>32803000</v>
      </c>
      <c r="B115" t="str">
        <f>"7000 PERI TRIO Richtstützen RSS III (Medium)"</f>
        <v>7000 PERI TRIO Richtstützen RSS III (Medium)</v>
      </c>
      <c r="C115" s="2">
        <v>110</v>
      </c>
    </row>
    <row r="116" spans="1:3" x14ac:dyDescent="0.2">
      <c r="A116" t="str">
        <f>"32806000"</f>
        <v>32806000</v>
      </c>
      <c r="B116" t="str">
        <f>"PERI Keilkopfstück kpl (Medium)"</f>
        <v>PERI Keilkopfstück kpl (Medium)</v>
      </c>
      <c r="C116" s="2">
        <v>100</v>
      </c>
    </row>
    <row r="117" spans="1:3" x14ac:dyDescent="0.2">
      <c r="A117" t="str">
        <f>"32873100"</f>
        <v>32873100</v>
      </c>
      <c r="B117" t="str">
        <f>"1210 PERI Deckenstütze PEP 20 N260 (Medium)"</f>
        <v>1210 PERI Deckenstütze PEP 20 N260 (Medium)</v>
      </c>
      <c r="C117" s="2">
        <v>31</v>
      </c>
    </row>
    <row r="118" spans="1:3" x14ac:dyDescent="0.2">
      <c r="A118" t="str">
        <f>"32875000"</f>
        <v>32875000</v>
      </c>
      <c r="B118" t="str">
        <f>"1230 PERI Deckenstütze PEP 20 N350 (Medium)"</f>
        <v>1230 PERI Deckenstütze PEP 20 N350 (Medium)</v>
      </c>
      <c r="C118" s="2">
        <v>1</v>
      </c>
    </row>
    <row r="119" spans="1:3" x14ac:dyDescent="0.2">
      <c r="A119" t="str">
        <f>"32878000"</f>
        <v>32878000</v>
      </c>
      <c r="B119" t="str">
        <f>"1250 PERI Deckenstütze PEP 30 G350 (Medium)"</f>
        <v>1250 PERI Deckenstütze PEP 30 G350 (Medium)</v>
      </c>
      <c r="C119" s="2">
        <v>1</v>
      </c>
    </row>
    <row r="120" spans="1:3" x14ac:dyDescent="0.2">
      <c r="A120" t="str">
        <f>"32878001"</f>
        <v>32878001</v>
      </c>
      <c r="B120" t="str">
        <f>"1240 PERI Deckenstütze PEP 30 G300 (Medium)"</f>
        <v>1240 PERI Deckenstütze PEP 30 G300 (Medium)</v>
      </c>
      <c r="C120" s="2">
        <v>217</v>
      </c>
    </row>
    <row r="121" spans="1:3" x14ac:dyDescent="0.2">
      <c r="A121" t="str">
        <f>"36506300"</f>
        <v>36506300</v>
      </c>
      <c r="B121" t="str">
        <f>"1290 PERI Abschalschiene 105 (Medium)"</f>
        <v>1290 PERI Abschalschiene 105 (Medium)</v>
      </c>
      <c r="C121" s="2">
        <v>123</v>
      </c>
    </row>
    <row r="122" spans="1:3" x14ac:dyDescent="0.2">
      <c r="A122" t="str">
        <f>"40000900"</f>
        <v>40000900</v>
      </c>
      <c r="B122" t="str">
        <f>"PERI UP Vertikalstiel UVR 200"</f>
        <v>PERI UP Vertikalstiel UVR 200</v>
      </c>
      <c r="C122" s="2">
        <v>96</v>
      </c>
    </row>
    <row r="123" spans="1:3" x14ac:dyDescent="0.2">
      <c r="A123" t="str">
        <f>"40001200"</f>
        <v>40001200</v>
      </c>
      <c r="B123" t="str">
        <f>"PERI UP Vertikalstiel UVR 300"</f>
        <v>PERI UP Vertikalstiel UVR 300</v>
      </c>
      <c r="C123" s="2">
        <v>65</v>
      </c>
    </row>
    <row r="124" spans="1:3" x14ac:dyDescent="0.2">
      <c r="A124" t="str">
        <f>"40008800"</f>
        <v>40008800</v>
      </c>
      <c r="B124" t="str">
        <f>"PERI UP Gerüsthalter UWT 45"</f>
        <v>PERI UP Gerüsthalter UWT 45</v>
      </c>
      <c r="C124" s="2">
        <v>31</v>
      </c>
    </row>
    <row r="125" spans="1:3" x14ac:dyDescent="0.2">
      <c r="A125" t="str">
        <f>"40041100"</f>
        <v>40041100</v>
      </c>
      <c r="B125" t="str">
        <f>"PERI UP Fußspindel UJB 38-50/30 (GB)"</f>
        <v>PERI UP Fußspindel UJB 38-50/30 (GB)</v>
      </c>
      <c r="C125" s="2">
        <v>116</v>
      </c>
    </row>
    <row r="126" spans="1:3" x14ac:dyDescent="0.2">
      <c r="A126" t="str">
        <f>"40067800"</f>
        <v>40067800</v>
      </c>
      <c r="B126" t="str">
        <f>"PERI UP Rungenpalette USP 104"</f>
        <v>PERI UP Rungenpalette USP 104</v>
      </c>
      <c r="C126" s="2">
        <v>8</v>
      </c>
    </row>
    <row r="127" spans="1:3" x14ac:dyDescent="0.2">
      <c r="A127" t="str">
        <f>"40074200"</f>
        <v>40074200</v>
      </c>
      <c r="B127" t="str">
        <f>"PERI UP Treppengeländer UAG"</f>
        <v>PERI UP Treppengeländer UAG</v>
      </c>
      <c r="C127" s="2">
        <v>20</v>
      </c>
    </row>
    <row r="128" spans="1:3" x14ac:dyDescent="0.2">
      <c r="A128" t="str">
        <f>"40110000"</f>
        <v>40110000</v>
      </c>
      <c r="B128" t="str">
        <f>"0010 Faltbühne FB 180-3/300 (Medium)"</f>
        <v>0010 Faltbühne FB 180-3/300 (Medium)</v>
      </c>
      <c r="C128" s="2">
        <v>57</v>
      </c>
    </row>
    <row r="129" spans="1:3" x14ac:dyDescent="0.2">
      <c r="A129" t="str">
        <f>"40130900"</f>
        <v>40130900</v>
      </c>
      <c r="B129" t="str">
        <f>"PERI UP Kopfstiel UVH 50"</f>
        <v>PERI UP Kopfstiel UVH 50</v>
      </c>
      <c r="C129" s="2">
        <v>8</v>
      </c>
    </row>
    <row r="130" spans="1:3" x14ac:dyDescent="0.2">
      <c r="A130" t="str">
        <f>"40177800"</f>
        <v>40177800</v>
      </c>
      <c r="B130" t="str">
        <f>"PERI UP VARIOKIT Schwerlastspindeln SLS 200/300"</f>
        <v>PERI UP VARIOKIT Schwerlastspindeln SLS 200/300</v>
      </c>
      <c r="C130" s="2">
        <v>8</v>
      </c>
    </row>
    <row r="131" spans="1:3" x14ac:dyDescent="0.2">
      <c r="A131" t="str">
        <f>"40186200"</f>
        <v>40186200</v>
      </c>
      <c r="B131" t="str">
        <f>"PERI UMSETZGABEL 1T / 5.0M (Medium)"</f>
        <v>PERI UMSETZGABEL 1T / 5.0M (Medium)</v>
      </c>
      <c r="C131" s="2">
        <v>2</v>
      </c>
    </row>
    <row r="132" spans="1:3" x14ac:dyDescent="0.2">
      <c r="A132" t="str">
        <f>"40306000"</f>
        <v>40306000</v>
      </c>
      <c r="B132" t="str">
        <f>"1060 PERI Deckenstütze PEP 20-400 (Medium)"</f>
        <v>1060 PERI Deckenstütze PEP 20-400 (Medium)</v>
      </c>
      <c r="C132" s="2">
        <v>5</v>
      </c>
    </row>
    <row r="133" spans="1:3" x14ac:dyDescent="0.2">
      <c r="A133" t="str">
        <f>"40306100"</f>
        <v>40306100</v>
      </c>
      <c r="B133" t="str">
        <f>"1070 PERI Deckenstütze PEP 20-500 (Medium)"</f>
        <v>1070 PERI Deckenstütze PEP 20-500 (Medium)</v>
      </c>
      <c r="C133" s="2">
        <v>173</v>
      </c>
    </row>
    <row r="134" spans="1:3" x14ac:dyDescent="0.2">
      <c r="A134" t="str">
        <f>"40306500"</f>
        <v>40306500</v>
      </c>
      <c r="B134" t="str">
        <f>"1120 PERI Deckenstütze PEP 30-400 (Medium)"</f>
        <v>1120 PERI Deckenstütze PEP 30-400 (Medium)</v>
      </c>
      <c r="C134" s="2">
        <v>96</v>
      </c>
    </row>
    <row r="135" spans="1:3" x14ac:dyDescent="0.2">
      <c r="A135" t="str">
        <f>"40306600"</f>
        <v>40306600</v>
      </c>
      <c r="B135" t="str">
        <f>"1080 PERI Deckenstütze PEP 30-150 (Medium)"</f>
        <v>1080 PERI Deckenstütze PEP 30-150 (Medium)</v>
      </c>
      <c r="C135" s="2">
        <v>50</v>
      </c>
    </row>
    <row r="136" spans="1:3" x14ac:dyDescent="0.2">
      <c r="A136" t="str">
        <f>"40306700"</f>
        <v>40306700</v>
      </c>
      <c r="B136" t="str">
        <f>"1090 PERI Deckenstütze PEP 30-250 (Medium)"</f>
        <v>1090 PERI Deckenstütze PEP 30-250 (Medium)</v>
      </c>
      <c r="C136" s="2">
        <v>1972</v>
      </c>
    </row>
    <row r="137" spans="1:3" x14ac:dyDescent="0.2">
      <c r="A137" t="str">
        <f>"40393800"</f>
        <v>40393800</v>
      </c>
      <c r="B137" t="str">
        <f>"PERI Eckkupplung EKZ 47/43 (medium)"</f>
        <v>PERI Eckkupplung EKZ 47/43 (medium)</v>
      </c>
      <c r="C137" s="2">
        <v>10</v>
      </c>
    </row>
    <row r="138" spans="1:3" x14ac:dyDescent="0.2">
      <c r="A138" t="str">
        <f>"40493100"</f>
        <v>40493100</v>
      </c>
      <c r="B138" t="str">
        <f>"PERI Hakenbride Uni HBU 20-24"</f>
        <v>PERI Hakenbride Uni HBU 20-24</v>
      </c>
      <c r="C138" s="2">
        <v>20</v>
      </c>
    </row>
    <row r="139" spans="1:3" x14ac:dyDescent="0.2">
      <c r="A139" t="str">
        <f>"40715200"</f>
        <v>40715200</v>
      </c>
      <c r="B139" t="str">
        <f>"1010 PERI PEP ERGO Dreibein 44-64 (Medium)"</f>
        <v>1010 PERI PEP ERGO Dreibein 44-64 (Medium)</v>
      </c>
      <c r="C139" s="2">
        <v>1588</v>
      </c>
    </row>
    <row r="140" spans="1:3" x14ac:dyDescent="0.2">
      <c r="A140" t="str">
        <f>"40717300"</f>
        <v>40717300</v>
      </c>
      <c r="B140" t="str">
        <f>"PERI MULTIPROP Auszugsleiter Alu 220/350 (Medium)"</f>
        <v>PERI MULTIPROP Auszugsleiter Alu 220/350 (Medium)</v>
      </c>
      <c r="C140" s="2">
        <v>7</v>
      </c>
    </row>
    <row r="141" spans="1:3" x14ac:dyDescent="0.2">
      <c r="A141" t="str">
        <f>"40975500"</f>
        <v>40975500</v>
      </c>
      <c r="B141" t="str">
        <f>"PERI UP Durchstieg UAF 75x100"</f>
        <v>PERI UP Durchstieg UAF 75x100</v>
      </c>
      <c r="C141" s="2">
        <v>15</v>
      </c>
    </row>
    <row r="142" spans="1:3" x14ac:dyDescent="0.2">
      <c r="A142" t="str">
        <f>"41075600"</f>
        <v>41075600</v>
      </c>
      <c r="B142" t="str">
        <f>"PERI Spannerwellenkopf SRU (Medium)"</f>
        <v>PERI Spannerwellenkopf SRU (Medium)</v>
      </c>
      <c r="C142" s="2">
        <v>16</v>
      </c>
    </row>
    <row r="143" spans="1:3" x14ac:dyDescent="0.2">
      <c r="A143" t="str">
        <f>"41112400"</f>
        <v>41112400</v>
      </c>
      <c r="B143" t="str">
        <f>"PERI UP Gerüsttreppe UAS 75x300/200 Alu"</f>
        <v>PERI UP Gerüsttreppe UAS 75x300/200 Alu</v>
      </c>
      <c r="C143" s="2">
        <v>10</v>
      </c>
    </row>
    <row r="144" spans="1:3" x14ac:dyDescent="0.2">
      <c r="A144" t="str">
        <f>"41181400"</f>
        <v>41181400</v>
      </c>
      <c r="B144" t="str">
        <f>"1450 PERI PEP-Rahmen PRK 150 (Medium)"</f>
        <v>1450 PERI PEP-Rahmen PRK 150 (Medium)</v>
      </c>
      <c r="C144" s="2">
        <v>427</v>
      </c>
    </row>
    <row r="145" spans="1:3" x14ac:dyDescent="0.2">
      <c r="A145" t="str">
        <f>"41181500"</f>
        <v>41181500</v>
      </c>
      <c r="B145" t="str">
        <f>"1450 PERI PEP-Rahmen PRK 201,5 (Medium)"</f>
        <v>1450 PERI PEP-Rahmen PRK 201,5 (Medium)</v>
      </c>
      <c r="C145" s="2">
        <v>6</v>
      </c>
    </row>
    <row r="146" spans="1:3" x14ac:dyDescent="0.2">
      <c r="A146" t="str">
        <f>"41181700"</f>
        <v>41181700</v>
      </c>
      <c r="B146" t="str">
        <f>"1450 PERI PEP-Rahmen PRK 230 (Medium)"</f>
        <v>1450 PERI PEP-Rahmen PRK 230 (Medium)</v>
      </c>
      <c r="C146" s="2">
        <v>380</v>
      </c>
    </row>
    <row r="147" spans="1:3" x14ac:dyDescent="0.2">
      <c r="A147" t="str">
        <f>"41271800"</f>
        <v>41271800</v>
      </c>
      <c r="B147" t="str">
        <f>"PERI PEP-Rahmen PRK 200 AL (Medium)"</f>
        <v>PERI PEP-Rahmen PRK 200 AL (Medium)</v>
      </c>
      <c r="C147" s="2">
        <v>250</v>
      </c>
    </row>
    <row r="148" spans="1:3" x14ac:dyDescent="0.2">
      <c r="A148" t="str">
        <f>"41281400"</f>
        <v>41281400</v>
      </c>
      <c r="B148" t="str">
        <f>"1460 PERI PEP-Rahmen PRK 120 (Medium)"</f>
        <v>1460 PERI PEP-Rahmen PRK 120 (Medium)</v>
      </c>
      <c r="C148" s="2">
        <v>300</v>
      </c>
    </row>
    <row r="149" spans="1:3" x14ac:dyDescent="0.2">
      <c r="A149" t="str">
        <f>"41464100"</f>
        <v>41464100</v>
      </c>
      <c r="B149" t="str">
        <f>"PERI UP Horizontalriegel UH 150 / UH 150 Plus"</f>
        <v>PERI UP Horizontalriegel UH 150 / UH 150 Plus</v>
      </c>
      <c r="C149" s="2">
        <v>60</v>
      </c>
    </row>
    <row r="150" spans="1:3" x14ac:dyDescent="0.2">
      <c r="A150" t="str">
        <f>"41464800"</f>
        <v>41464800</v>
      </c>
      <c r="B150" t="str">
        <f>"PERI UP Horizontalriegel UH 250 / UH 250 Plus"</f>
        <v>PERI UP Horizontalriegel UH 250 / UH 250 Plus</v>
      </c>
      <c r="C150" s="2">
        <v>35</v>
      </c>
    </row>
    <row r="151" spans="1:3" x14ac:dyDescent="0.2">
      <c r="A151" t="str">
        <f>"41465100"</f>
        <v>41465100</v>
      </c>
      <c r="B151" t="str">
        <f>"PERI UP Horizontalriegel UH 300 / UH 300 Plus"</f>
        <v>PERI UP Horizontalriegel UH 300 / UH 300 Plus</v>
      </c>
      <c r="C151" s="2">
        <v>139</v>
      </c>
    </row>
    <row r="152" spans="1:3" x14ac:dyDescent="0.2">
      <c r="A152" t="str">
        <f>"41492900"</f>
        <v>41492900</v>
      </c>
      <c r="B152" t="str">
        <f>"PERI UP Horizontalriegel UH 75 / UH 75 Plus"</f>
        <v>PERI UP Horizontalriegel UH 75 / UH 75 Plus</v>
      </c>
      <c r="C152" s="2">
        <v>182</v>
      </c>
    </row>
    <row r="153" spans="1:3" x14ac:dyDescent="0.2">
      <c r="A153" t="str">
        <f>"41562300"</f>
        <v>41562300</v>
      </c>
      <c r="B153" t="str">
        <f>"Eckverbinder SRU VARIOKIT (Medium)"</f>
        <v>Eckverbinder SRU VARIOKIT (Medium)</v>
      </c>
      <c r="C153" s="2">
        <v>35</v>
      </c>
    </row>
    <row r="154" spans="1:3" x14ac:dyDescent="0.2">
      <c r="A154" t="str">
        <f>"41678000"</f>
        <v>41678000</v>
      </c>
      <c r="B154" t="str">
        <f>"1300 PERI Deckenstütze PEP Ergo B-300 (Medium)"</f>
        <v>1300 PERI Deckenstütze PEP Ergo B-300 (Medium)</v>
      </c>
      <c r="C154" s="2">
        <v>158</v>
      </c>
    </row>
    <row r="155" spans="1:3" x14ac:dyDescent="0.2">
      <c r="A155" t="str">
        <f>"41679000"</f>
        <v>41679000</v>
      </c>
      <c r="B155" t="str">
        <f>"1310 PERI Deckenstütze PEP Ergo B-350 (Medium)"</f>
        <v>1310 PERI Deckenstütze PEP Ergo B-350 (Medium)</v>
      </c>
      <c r="C155" s="2">
        <v>281</v>
      </c>
    </row>
    <row r="156" spans="1:3" x14ac:dyDescent="0.2">
      <c r="A156" t="str">
        <f>"41723000"</f>
        <v>41723000</v>
      </c>
      <c r="B156" t="str">
        <f>"1320 PERI Deckenstütze PEP Ergo D-150 (Medium)"</f>
        <v>1320 PERI Deckenstütze PEP Ergo D-150 (Medium)</v>
      </c>
      <c r="C156" s="2">
        <v>32</v>
      </c>
    </row>
    <row r="157" spans="1:3" x14ac:dyDescent="0.2">
      <c r="A157" t="str">
        <f>"41732301"</f>
        <v>41732301</v>
      </c>
      <c r="B157" t="str">
        <f>"PERI Deckenfuß PDF"</f>
        <v>PERI Deckenfuß PDF</v>
      </c>
      <c r="C157" s="2">
        <v>105</v>
      </c>
    </row>
    <row r="158" spans="1:3" x14ac:dyDescent="0.2">
      <c r="A158" t="str">
        <f>"41732400"</f>
        <v>41732400</v>
      </c>
      <c r="B158" t="str">
        <f>"PERI Seitenfuss PSF"</f>
        <v>PERI Seitenfuss PSF</v>
      </c>
      <c r="C158" s="2">
        <v>77</v>
      </c>
    </row>
    <row r="159" spans="1:3" x14ac:dyDescent="0.2">
      <c r="A159" t="str">
        <f>"41732600"</f>
        <v>41732600</v>
      </c>
      <c r="B159" t="str">
        <f>"PERI Seitenschutzgitter PMB 260 (Medium)"</f>
        <v>PERI Seitenschutzgitter PMB 260 (Medium)</v>
      </c>
      <c r="C159" s="2">
        <v>178</v>
      </c>
    </row>
    <row r="160" spans="1:3" x14ac:dyDescent="0.2">
      <c r="A160" t="str">
        <f>"41746800"</f>
        <v>41746800</v>
      </c>
      <c r="B160" t="str">
        <f>"1180 PERI Richtstütze RS 450, verz. (Medium)"</f>
        <v>1180 PERI Richtstütze RS 450, verz. (Medium)</v>
      </c>
      <c r="C160" s="2">
        <v>11</v>
      </c>
    </row>
    <row r="161" spans="1:3" x14ac:dyDescent="0.2">
      <c r="A161" t="str">
        <f>"42396000"</f>
        <v>42396000</v>
      </c>
      <c r="B161" t="str">
        <f>"9999 PERI Palette EP 110 (Medium)"</f>
        <v>9999 PERI Palette EP 110 (Medium)</v>
      </c>
      <c r="C161" s="2">
        <v>40</v>
      </c>
    </row>
    <row r="162" spans="1:3" x14ac:dyDescent="0.2">
      <c r="A162" t="str">
        <f>"42410900"</f>
        <v>42410900</v>
      </c>
      <c r="B162" t="str">
        <f>"PERI UP Stahlbelag UDG 25x200"</f>
        <v>PERI UP Stahlbelag UDG 25x200</v>
      </c>
      <c r="C162" s="2">
        <v>45</v>
      </c>
    </row>
    <row r="163" spans="1:3" x14ac:dyDescent="0.2">
      <c r="A163" t="str">
        <f>"42491500"</f>
        <v>42491500</v>
      </c>
      <c r="B163" t="str">
        <f>"PERI UP Stahlbelag UDG 25x300"</f>
        <v>PERI UP Stahlbelag UDG 25x300</v>
      </c>
      <c r="C163" s="2">
        <v>26</v>
      </c>
    </row>
    <row r="164" spans="1:3" x14ac:dyDescent="0.2">
      <c r="A164" t="str">
        <f>"42513000"</f>
        <v>42513000</v>
      </c>
      <c r="B164" t="str">
        <f>"1340 PERI Deckenstütze PEP Ergo D-350 (Medium)"</f>
        <v>1340 PERI Deckenstütze PEP Ergo D-350 (Medium)</v>
      </c>
      <c r="C164" s="2">
        <v>39</v>
      </c>
    </row>
    <row r="165" spans="1:3" x14ac:dyDescent="0.2">
      <c r="A165" t="str">
        <f>"42515000"</f>
        <v>42515000</v>
      </c>
      <c r="B165" t="str">
        <f>"1360 PERI Deckenstütze PEP Ergo D-500 (Medium)"</f>
        <v>1360 PERI Deckenstütze PEP Ergo D-500 (Medium)</v>
      </c>
      <c r="C165" s="2">
        <v>973</v>
      </c>
    </row>
    <row r="166" spans="1:3" x14ac:dyDescent="0.2">
      <c r="A166" t="str">
        <f>"42516000"</f>
        <v>42516000</v>
      </c>
      <c r="B166" t="str">
        <f>"1370 PERI Deckenstütze PEP Ergo E-300 (Medium)"</f>
        <v>1370 PERI Deckenstütze PEP Ergo E-300 (Medium)</v>
      </c>
      <c r="C166" s="2">
        <v>24</v>
      </c>
    </row>
    <row r="167" spans="1:3" x14ac:dyDescent="0.2">
      <c r="A167" t="str">
        <f>"42517000"</f>
        <v>42517000</v>
      </c>
      <c r="B167" t="str">
        <f>"1390 PERI Deckenstütze PEP Ergo E-400 (Medium)"</f>
        <v>1390 PERI Deckenstütze PEP Ergo E-400 (Medium)</v>
      </c>
      <c r="C167" s="2">
        <v>73</v>
      </c>
    </row>
    <row r="168" spans="1:3" x14ac:dyDescent="0.2">
      <c r="A168" t="str">
        <f>"42631400"</f>
        <v>42631400</v>
      </c>
      <c r="B168" t="str">
        <f>"PERI UP Durchstiegsbelag UAL-2 75x250/3"</f>
        <v>PERI UP Durchstiegsbelag UAL-2 75x250/3</v>
      </c>
      <c r="C168" s="2">
        <v>14</v>
      </c>
    </row>
    <row r="169" spans="1:3" x14ac:dyDescent="0.2">
      <c r="A169" t="str">
        <f>"42637600"</f>
        <v>42637600</v>
      </c>
      <c r="B169" t="str">
        <f>"PERI Seitenschutzgitter PMB 120 (Medium)"</f>
        <v>PERI Seitenschutzgitter PMB 120 (Medium)</v>
      </c>
      <c r="C169" s="2">
        <v>23</v>
      </c>
    </row>
    <row r="170" spans="1:3" x14ac:dyDescent="0.2">
      <c r="A170" t="str">
        <f>"42641100"</f>
        <v>42641100</v>
      </c>
      <c r="B170" t="str">
        <f>"Gerüstrohr Stahl Ø 48,3 x 3,2, l = 1,0 m"</f>
        <v>Gerüstrohr Stahl Ø 48,3 x 3,2, l = 1,0 m</v>
      </c>
      <c r="C170" s="2">
        <v>2</v>
      </c>
    </row>
    <row r="171" spans="1:3" x14ac:dyDescent="0.2">
      <c r="A171" t="str">
        <f>"42641101"</f>
        <v>42641101</v>
      </c>
      <c r="B171" t="str">
        <f>"Gerüstrohr Stahl Ø 48,3 x 3,2 mm 1m vz (Neuware)"</f>
        <v>Gerüstrohr Stahl Ø 48,3 x 3,2 mm 1m vz (Neuware)</v>
      </c>
      <c r="C171" s="2">
        <v>176</v>
      </c>
    </row>
    <row r="172" spans="1:3" x14ac:dyDescent="0.2">
      <c r="A172" t="str">
        <f>"42641201"</f>
        <v>42641201</v>
      </c>
      <c r="B172" t="str">
        <f>"Gerüstrohr Stahl Ø 48,3 x 3,2mm 2m vz (Neuware)"</f>
        <v>Gerüstrohr Stahl Ø 48,3 x 3,2mm 2m vz (Neuware)</v>
      </c>
      <c r="C172" s="2">
        <v>156</v>
      </c>
    </row>
    <row r="173" spans="1:3" x14ac:dyDescent="0.2">
      <c r="A173" t="str">
        <f>"42641301"</f>
        <v>42641301</v>
      </c>
      <c r="B173" t="str">
        <f>"Gerüstrohr Stahl Ø 48,3 x 3,2mm 3m vz (Neuware)"</f>
        <v>Gerüstrohr Stahl Ø 48,3 x 3,2mm 3m vz (Neuware)</v>
      </c>
      <c r="C173" s="2">
        <v>130</v>
      </c>
    </row>
    <row r="174" spans="1:3" x14ac:dyDescent="0.2">
      <c r="A174" t="str">
        <f>"42641401"</f>
        <v>42641401</v>
      </c>
      <c r="B174" t="str">
        <f>"Gerüstrohr Stahl Ø 48,3 x 3,2mm 4m vz (Neuware)"</f>
        <v>Gerüstrohr Stahl Ø 48,3 x 3,2mm 4m vz (Neuware)</v>
      </c>
      <c r="C174" s="2">
        <v>60</v>
      </c>
    </row>
    <row r="175" spans="1:3" x14ac:dyDescent="0.2">
      <c r="A175" t="str">
        <f>"42641801"</f>
        <v>42641801</v>
      </c>
      <c r="B175" t="str">
        <f>"Gerüstrohr Stahl Ø 48,3 x 3,2,mm 6m vz (Neuware)"</f>
        <v>Gerüstrohr Stahl Ø 48,3 x 3,2,mm 6m vz (Neuware)</v>
      </c>
      <c r="C175" s="2">
        <v>49</v>
      </c>
    </row>
    <row r="176" spans="1:3" x14ac:dyDescent="0.2">
      <c r="A176" t="str">
        <f>"42641903"</f>
        <v>42641903</v>
      </c>
      <c r="B176" t="str">
        <f>"Gerüstrohr Stahl Ø 48,3 x 3,2mm 5m vz (Neuware)"</f>
        <v>Gerüstrohr Stahl Ø 48,3 x 3,2mm 5m vz (Neuware)</v>
      </c>
      <c r="C176" s="2">
        <v>61</v>
      </c>
    </row>
    <row r="177" spans="1:3" x14ac:dyDescent="0.2">
      <c r="A177" t="str">
        <f>"42646300"</f>
        <v>42646300</v>
      </c>
      <c r="B177" t="str">
        <f>"PERI Gerüstbelag MXK 240 (Medium)"</f>
        <v>PERI Gerüstbelag MXK 240 (Medium)</v>
      </c>
      <c r="C177" s="2">
        <v>13</v>
      </c>
    </row>
    <row r="178" spans="1:3" x14ac:dyDescent="0.2">
      <c r="A178" t="str">
        <f>"42996010"</f>
        <v>42996010</v>
      </c>
      <c r="B178" t="str">
        <f>"PERI Gegengeländerhalter VARIO (Medium)"</f>
        <v>PERI Gegengeländerhalter VARIO (Medium)</v>
      </c>
      <c r="C178" s="2">
        <v>6</v>
      </c>
    </row>
    <row r="179" spans="1:3" x14ac:dyDescent="0.2">
      <c r="A179" t="str">
        <f>"43027201"</f>
        <v>43027201</v>
      </c>
      <c r="B179" t="str">
        <f>"1280 PERI Deckenstütze PEP Alpha D-300 (Medium)"</f>
        <v>1280 PERI Deckenstütze PEP Alpha D-300 (Medium)</v>
      </c>
      <c r="C179" s="2">
        <v>1</v>
      </c>
    </row>
    <row r="180" spans="1:3" x14ac:dyDescent="0.2">
      <c r="A180" t="str">
        <f>"43027400"</f>
        <v>43027400</v>
      </c>
      <c r="B180" t="str">
        <f>"1290 PERI Deckenstütze PEP Alpha D-350 (Medium)"</f>
        <v>1290 PERI Deckenstütze PEP Alpha D-350 (Medium)</v>
      </c>
      <c r="C180" s="2">
        <v>45</v>
      </c>
    </row>
    <row r="181" spans="1:3" x14ac:dyDescent="0.2">
      <c r="A181" t="str">
        <f>"43370100"</f>
        <v>43370100</v>
      </c>
      <c r="B181" t="str">
        <f>"PERI Stützkopf SXP S (Medium)"</f>
        <v>PERI Stützkopf SXP S (Medium)</v>
      </c>
      <c r="C181" s="2">
        <v>80</v>
      </c>
    </row>
    <row r="182" spans="1:3" x14ac:dyDescent="0.2">
      <c r="A182" t="str">
        <f>"44000128"</f>
        <v>44000128</v>
      </c>
      <c r="B182" t="str">
        <f>"1170 Versatzriegel TVR 45/45 (Medium)"</f>
        <v>1170 Versatzriegel TVR 45/45 (Medium)</v>
      </c>
      <c r="C182" s="2">
        <v>16</v>
      </c>
    </row>
    <row r="183" spans="1:3" x14ac:dyDescent="0.2">
      <c r="A183" t="str">
        <f>"44000129"</f>
        <v>44000129</v>
      </c>
      <c r="B183" t="str">
        <f>"1150 PERI Ausgleichsriegel TAR 85 (Medium)"</f>
        <v>1150 PERI Ausgleichsriegel TAR 85 (Medium)</v>
      </c>
      <c r="C183" s="2">
        <v>660</v>
      </c>
    </row>
    <row r="184" spans="1:3" x14ac:dyDescent="0.2">
      <c r="A184" t="str">
        <f>"44000131"</f>
        <v>44000131</v>
      </c>
      <c r="B184" t="str">
        <f>"7000 Universalriegel 245 (Medium)"</f>
        <v>7000 Universalriegel 245 (Medium)</v>
      </c>
      <c r="C184" s="2">
        <v>55</v>
      </c>
    </row>
    <row r="185" spans="1:3" x14ac:dyDescent="0.2">
      <c r="A185" t="str">
        <f>"44000136"</f>
        <v>44000136</v>
      </c>
      <c r="B185" t="str">
        <f>"1200 Spannhaken DW15 L=400mm (Medium)"</f>
        <v>1200 Spannhaken DW15 L=400mm (Medium)</v>
      </c>
      <c r="C185" s="2">
        <v>4</v>
      </c>
    </row>
    <row r="186" spans="1:3" x14ac:dyDescent="0.2">
      <c r="A186" t="str">
        <f>"44000148"</f>
        <v>44000148</v>
      </c>
      <c r="B186" t="str">
        <f>"1310 Gerüstkonsole TRG 80 (Medium)"</f>
        <v>1310 Gerüstkonsole TRG 80 (Medium)</v>
      </c>
      <c r="C186" s="2">
        <v>1160</v>
      </c>
    </row>
    <row r="187" spans="1:3" x14ac:dyDescent="0.2">
      <c r="A187" t="str">
        <f>"44000149"</f>
        <v>44000149</v>
      </c>
      <c r="B187" t="str">
        <f>"1320 Gerüstkonsole TRG 120 (Medium)"</f>
        <v>1320 Gerüstkonsole TRG 120 (Medium)</v>
      </c>
      <c r="C187" s="2">
        <v>49</v>
      </c>
    </row>
    <row r="188" spans="1:3" x14ac:dyDescent="0.2">
      <c r="A188" t="str">
        <f>"44000178"</f>
        <v>44000178</v>
      </c>
      <c r="B188" t="str">
        <f>"Stirngeländer TRP (Medium)"</f>
        <v>Stirngeländer TRP (Medium)</v>
      </c>
      <c r="C188" s="2">
        <v>23</v>
      </c>
    </row>
    <row r="189" spans="1:3" x14ac:dyDescent="0.2">
      <c r="A189" t="str">
        <f>"44000179"</f>
        <v>44000179</v>
      </c>
      <c r="B189" t="str">
        <f>"1430 Ausleger AV 190 (Medium)"</f>
        <v>1430 Ausleger AV 190 (Medium)</v>
      </c>
      <c r="C189" s="2">
        <v>265</v>
      </c>
    </row>
    <row r="190" spans="1:3" x14ac:dyDescent="0.2">
      <c r="A190" t="str">
        <f>"44000185"</f>
        <v>44000185</v>
      </c>
      <c r="B190" t="str">
        <f>"1420 Ausleger AV 140 (Medium)"</f>
        <v>1420 Ausleger AV 140 (Medium)</v>
      </c>
      <c r="C190" s="2">
        <v>126</v>
      </c>
    </row>
    <row r="191" spans="1:3" x14ac:dyDescent="0.2">
      <c r="A191" t="str">
        <f>"44440011"</f>
        <v>44440011</v>
      </c>
      <c r="B191" t="str">
        <f>"7000 PERI Schalzwinge 105 (Medium)"</f>
        <v>7000 PERI Schalzwinge 105 (Medium)</v>
      </c>
      <c r="C191" s="2">
        <v>340</v>
      </c>
    </row>
    <row r="192" spans="1:3" x14ac:dyDescent="0.2">
      <c r="A192" t="str">
        <f>"44440022"</f>
        <v>44440022</v>
      </c>
      <c r="B192" t="str">
        <f>"7000 Kupplung VKZ 99 (Medium)"</f>
        <v>7000 Kupplung VKZ 99 (Medium)</v>
      </c>
      <c r="C192" s="2">
        <v>149</v>
      </c>
    </row>
    <row r="193" spans="1:3" x14ac:dyDescent="0.2">
      <c r="A193" t="str">
        <f>"44440027"</f>
        <v>44440027</v>
      </c>
      <c r="B193" t="str">
        <f>"0010 PERI MULTIPROP MP120 (Medium)"</f>
        <v>0010 PERI MULTIPROP MP120 (Medium)</v>
      </c>
      <c r="C193" s="2">
        <v>40</v>
      </c>
    </row>
    <row r="194" spans="1:3" x14ac:dyDescent="0.2">
      <c r="A194" t="str">
        <f>"44440030"</f>
        <v>44440030</v>
      </c>
      <c r="B194" t="str">
        <f>"1110 PERI Deckenstütze PEP 30-350 (Medium)"</f>
        <v>1110 PERI Deckenstütze PEP 30-350 (Medium)</v>
      </c>
      <c r="C194" s="2">
        <v>49</v>
      </c>
    </row>
    <row r="195" spans="1:3" x14ac:dyDescent="0.2">
      <c r="A195" t="str">
        <f>"44440042"</f>
        <v>44440042</v>
      </c>
      <c r="B195" t="str">
        <f>"1240 PERI Abschalbock verstellbar"</f>
        <v>1240 PERI Abschalbock verstellbar</v>
      </c>
      <c r="C195" s="2">
        <v>100</v>
      </c>
    </row>
    <row r="196" spans="1:3" x14ac:dyDescent="0.2">
      <c r="A196" t="str">
        <f>"44440045"</f>
        <v>44440045</v>
      </c>
      <c r="B196" t="str">
        <f>"0020 PERI MULTIPROP MP250 (Medium)"</f>
        <v>0020 PERI MULTIPROP MP250 (Medium)</v>
      </c>
      <c r="C196" s="2">
        <v>5292</v>
      </c>
    </row>
    <row r="197" spans="1:3" x14ac:dyDescent="0.2">
      <c r="A197" t="str">
        <f>"44440053"</f>
        <v>44440053</v>
      </c>
      <c r="B197" t="str">
        <f>"1440 Ausleger AV 210 (Medium)"</f>
        <v>1440 Ausleger AV 210 (Medium)</v>
      </c>
      <c r="C197" s="2">
        <v>220</v>
      </c>
    </row>
    <row r="198" spans="1:3" x14ac:dyDescent="0.2">
      <c r="A198" t="str">
        <f>"44440055"</f>
        <v>44440055</v>
      </c>
      <c r="B198" t="str">
        <f>"1390 PERI Richtstütze RS II 256-406 (Medium)"</f>
        <v>1390 PERI Richtstütze RS II 256-406 (Medium)</v>
      </c>
      <c r="C198" s="2">
        <v>135</v>
      </c>
    </row>
    <row r="199" spans="1:3" x14ac:dyDescent="0.2">
      <c r="A199" t="str">
        <f>"44440059"</f>
        <v>44440059</v>
      </c>
      <c r="B199" t="str">
        <f>"1040 PERI Deckenstütze PEP 20-300 (Medium)"</f>
        <v>1040 PERI Deckenstütze PEP 20-300 (Medium)</v>
      </c>
      <c r="C199" s="2">
        <v>56</v>
      </c>
    </row>
    <row r="200" spans="1:3" x14ac:dyDescent="0.2">
      <c r="A200" t="str">
        <f>"50023513"</f>
        <v>50023513</v>
      </c>
      <c r="B200" t="str">
        <f>"7000 PERI TRIO Richtstützen RSS II (Medium)"</f>
        <v>7000 PERI TRIO Richtstützen RSS II (Medium)</v>
      </c>
      <c r="C200" s="2">
        <v>316</v>
      </c>
    </row>
    <row r="201" spans="1:3" x14ac:dyDescent="0.2">
      <c r="A201" t="str">
        <f>"50023546"</f>
        <v>50023546</v>
      </c>
      <c r="B201" t="str">
        <f>"1430 PERI Kreuzkopf 20/24 S (Medium)"</f>
        <v>1430 PERI Kreuzkopf 20/24 S (Medium)</v>
      </c>
      <c r="C201" s="2">
        <v>526</v>
      </c>
    </row>
    <row r="202" spans="1:3" x14ac:dyDescent="0.2">
      <c r="A202" t="str">
        <f>"50024532"</f>
        <v>50024532</v>
      </c>
      <c r="B202" t="str">
        <f>"3400 PERI Mutternplatte DW 15 (Medium)"</f>
        <v>3400 PERI Mutternplatte DW 15 (Medium)</v>
      </c>
      <c r="C202" s="2">
        <v>145</v>
      </c>
    </row>
    <row r="203" spans="1:3" x14ac:dyDescent="0.2">
      <c r="A203" t="str">
        <f>"50024628"</f>
        <v>50024628</v>
      </c>
      <c r="B203" t="str">
        <f>"7000 PERI Nockenmutter DW15 verz. (Medium)"</f>
        <v>7000 PERI Nockenmutter DW15 verz. (Medium)</v>
      </c>
      <c r="C203" s="2">
        <v>86</v>
      </c>
    </row>
    <row r="204" spans="1:3" x14ac:dyDescent="0.2">
      <c r="A204" t="str">
        <f>"50024660"</f>
        <v>50024660</v>
      </c>
      <c r="B204" t="str">
        <f>"7000 PERI Klauenkopf 16/20 S (Medium)"</f>
        <v>7000 PERI Klauenkopf 16/20 S (Medium)</v>
      </c>
      <c r="C204" s="2">
        <v>100</v>
      </c>
    </row>
    <row r="205" spans="1:3" x14ac:dyDescent="0.2">
      <c r="A205" t="str">
        <f>"50024664"</f>
        <v>50024664</v>
      </c>
      <c r="B205" t="str">
        <f>"7000 PERI TRIO Ausleger für RSS III  (Medium)"</f>
        <v>7000 PERI TRIO Ausleger für RSS III  (Medium)</v>
      </c>
      <c r="C205" s="2">
        <v>137</v>
      </c>
    </row>
    <row r="206" spans="1:3" x14ac:dyDescent="0.2">
      <c r="A206" t="str">
        <f>"50024751"</f>
        <v>50024751</v>
      </c>
      <c r="B206" t="str">
        <f>"7000 PERI Klauenkopf 24 S (Medium)"</f>
        <v>7000 PERI Klauenkopf 24 S (Medium)</v>
      </c>
      <c r="C206" s="2">
        <v>350</v>
      </c>
    </row>
    <row r="207" spans="1:3" x14ac:dyDescent="0.2">
      <c r="A207" t="str">
        <f>"50024752"</f>
        <v>50024752</v>
      </c>
      <c r="B207" t="str">
        <f>"PERI Verschwertungsklammer 48-76 mm (Medium)"</f>
        <v>PERI Verschwertungsklammer 48-76 mm (Medium)</v>
      </c>
      <c r="C207" s="2">
        <v>50</v>
      </c>
    </row>
    <row r="208" spans="1:3" x14ac:dyDescent="0.2">
      <c r="A208" t="str">
        <f>"50051747"</f>
        <v>50051747</v>
      </c>
      <c r="B208" t="str">
        <f>"0020 PERI Zwischenbühne ASZ 240 (Medium)"</f>
        <v>0020 PERI Zwischenbühne ASZ 240 (Medium)</v>
      </c>
      <c r="C208" s="2">
        <v>40</v>
      </c>
    </row>
    <row r="209" spans="1:3" x14ac:dyDescent="0.2">
      <c r="A209" t="str">
        <f>"50051869"</f>
        <v>50051869</v>
      </c>
      <c r="B209" t="str">
        <f>"5100 Hünnebeck Europlus 20/350 (Medium)"</f>
        <v>5100 Hünnebeck Europlus 20/350 (Medium)</v>
      </c>
      <c r="C209" s="2">
        <v>453</v>
      </c>
    </row>
    <row r="210" spans="1:3" x14ac:dyDescent="0.2">
      <c r="A210" t="str">
        <f>"50057255"</f>
        <v>50057255</v>
      </c>
      <c r="B210" t="str">
        <f>"5000 Hünnebeck Deckenstütze A260 (Medium)"</f>
        <v>5000 Hünnebeck Deckenstütze A260 (Medium)</v>
      </c>
      <c r="C210" s="2">
        <v>753</v>
      </c>
    </row>
    <row r="211" spans="1:3" x14ac:dyDescent="0.2">
      <c r="A211" t="str">
        <f>"50058027"</f>
        <v>50058027</v>
      </c>
      <c r="B211" t="str">
        <f>"7000 PERI TRIO Richtstütze RSS I (Medium)"</f>
        <v>7000 PERI TRIO Richtstütze RSS I (Medium)</v>
      </c>
      <c r="C211" s="2">
        <v>138</v>
      </c>
    </row>
    <row r="212" spans="1:3" x14ac:dyDescent="0.2">
      <c r="A212" t="str">
        <f>"50059389"</f>
        <v>50059389</v>
      </c>
      <c r="B212" t="str">
        <f>"4030 Doka Eurex 20 Top 350 (Medium)"</f>
        <v>4030 Doka Eurex 20 Top 350 (Medium)</v>
      </c>
      <c r="C212" s="2">
        <v>2</v>
      </c>
    </row>
    <row r="213" spans="1:3" x14ac:dyDescent="0.2">
      <c r="A213" t="str">
        <f>"50059390"</f>
        <v>50059390</v>
      </c>
      <c r="B213" t="str">
        <f>"4040 Doka Eurex 20 Top 400 (Medium)"</f>
        <v>4040 Doka Eurex 20 Top 400 (Medium)</v>
      </c>
      <c r="C213" s="2">
        <v>1</v>
      </c>
    </row>
    <row r="214" spans="1:3" x14ac:dyDescent="0.2">
      <c r="A214" t="str">
        <f>"50324240"</f>
        <v>50324240</v>
      </c>
      <c r="B214" t="str">
        <f>"0280 PERI Keil KZ verz. (Medium)"</f>
        <v>0280 PERI Keil KZ verz. (Medium)</v>
      </c>
      <c r="C214" s="2">
        <v>500</v>
      </c>
    </row>
    <row r="215" spans="1:3" x14ac:dyDescent="0.2">
      <c r="A215" t="str">
        <f>"50500453"</f>
        <v>50500453</v>
      </c>
      <c r="B215" t="str">
        <f>"6380 PERI RUNDFLEX Gerüstkonsole GB 80 (Medium)"</f>
        <v>6380 PERI RUNDFLEX Gerüstkonsole GB 80 (Medium)</v>
      </c>
      <c r="C215" s="2">
        <v>203</v>
      </c>
    </row>
    <row r="216" spans="1:3" x14ac:dyDescent="0.2">
      <c r="A216" t="str">
        <f>"50500475"</f>
        <v>50500475</v>
      </c>
      <c r="B216" t="str">
        <f>"6280 PERI RUNDFLEX Außenelement A 85x360 (Medium)"</f>
        <v>6280 PERI RUNDFLEX Außenelement A 85x360 (Medium)</v>
      </c>
      <c r="C216" s="2">
        <v>10</v>
      </c>
    </row>
    <row r="217" spans="1:3" x14ac:dyDescent="0.2">
      <c r="A217" t="str">
        <f>"50500479"</f>
        <v>50500479</v>
      </c>
      <c r="B217" t="str">
        <f>"6320 PERI RUNDFLEX Innenelement I 72x360 (Medium)"</f>
        <v>6320 PERI RUNDFLEX Innenelement I 72x360 (Medium)</v>
      </c>
      <c r="C217" s="2">
        <v>10</v>
      </c>
    </row>
    <row r="218" spans="1:3" x14ac:dyDescent="0.2">
      <c r="A218" t="str">
        <f>"50501300"</f>
        <v>50501300</v>
      </c>
      <c r="B218" t="str">
        <f>"PERI RUNDFLEX Trägerkopfstück GT 24 (Medium)"</f>
        <v>PERI RUNDFLEX Trägerkopfstück GT 24 (Medium)</v>
      </c>
      <c r="C218" s="2">
        <v>5</v>
      </c>
    </row>
    <row r="219" spans="1:3" x14ac:dyDescent="0.2">
      <c r="A219" t="str">
        <f>"53150450"</f>
        <v>53150450</v>
      </c>
      <c r="B219" t="str">
        <f>"LAYHER Kreuzkopfspindel 45"</f>
        <v>LAYHER Kreuzkopfspindel 45</v>
      </c>
      <c r="C219" s="2">
        <v>4</v>
      </c>
    </row>
    <row r="220" spans="1:3" x14ac:dyDescent="0.2">
      <c r="A220" t="str">
        <f>"55501800"</f>
        <v>55501800</v>
      </c>
      <c r="B220" t="str">
        <f>"5100 Hünnebeck Europlus 20/300 (Medium)"</f>
        <v>5100 Hünnebeck Europlus 20/300 (Medium)</v>
      </c>
      <c r="C220" s="2">
        <v>198</v>
      </c>
    </row>
    <row r="221" spans="1:3" x14ac:dyDescent="0.2">
      <c r="A221" t="str">
        <f>"58270900"</f>
        <v>58270900</v>
      </c>
      <c r="B221" t="str">
        <f>"Doka D2-Gabelkopf D"</f>
        <v>Doka D2-Gabelkopf D</v>
      </c>
      <c r="C221" s="2">
        <v>128</v>
      </c>
    </row>
    <row r="222" spans="1:3" x14ac:dyDescent="0.2">
      <c r="A222" t="str">
        <f>"58608600"</f>
        <v>58608600</v>
      </c>
      <c r="B222" t="str">
        <f>"4010 Doka Eurex 20 250 (Medium)"</f>
        <v>4010 Doka Eurex 20 250 (Medium)</v>
      </c>
      <c r="C222" s="2">
        <v>1121</v>
      </c>
    </row>
    <row r="223" spans="1:3" x14ac:dyDescent="0.2">
      <c r="A223" t="str">
        <f>"58608740"</f>
        <v>58608740</v>
      </c>
      <c r="B223" t="str">
        <f>"4080 Doka Eurex 30 Top 300 (Medium)"</f>
        <v>4080 Doka Eurex 30 Top 300 (Medium)</v>
      </c>
      <c r="C223" s="2">
        <v>1</v>
      </c>
    </row>
    <row r="224" spans="1:3" x14ac:dyDescent="0.2">
      <c r="A224" t="str">
        <f>"58617000"</f>
        <v>58617000</v>
      </c>
      <c r="B224" t="str">
        <f>"1100 Doka Framax Vierwegkopf H20 (Medium)"</f>
        <v>1100 Doka Framax Vierwegkopf H20 (Medium)</v>
      </c>
      <c r="C224" s="2">
        <v>63</v>
      </c>
    </row>
    <row r="225" spans="1:3" x14ac:dyDescent="0.2">
      <c r="A225" t="str">
        <f>"58627200"</f>
        <v>58627200</v>
      </c>
      <c r="B225" t="str">
        <f>"4030 Doka Eurex 20 eco 350 (Medium)"</f>
        <v>4030 Doka Eurex 20 eco 350 (Medium)</v>
      </c>
      <c r="C225" s="2">
        <v>1</v>
      </c>
    </row>
    <row r="226" spans="1:3" x14ac:dyDescent="0.2">
      <c r="A226" t="str">
        <f>"59913086"</f>
        <v>59913086</v>
      </c>
      <c r="B226" t="str">
        <f>"0010 PERI SKYMAX Paneel SXP 200x100 (High)"</f>
        <v>0010 PERI SKYMAX Paneel SXP 200x100 (High)</v>
      </c>
      <c r="C226" s="2">
        <v>3</v>
      </c>
    </row>
    <row r="227" spans="1:3" x14ac:dyDescent="0.2">
      <c r="A227" t="str">
        <f>"59913183"</f>
        <v>59913183</v>
      </c>
      <c r="B227" t="str">
        <f>"VT20 Träger L=2,90 m (Low)"</f>
        <v>VT20 Träger L=2,90 m (Low)</v>
      </c>
      <c r="C227" s="2">
        <v>35</v>
      </c>
    </row>
    <row r="228" spans="1:3" x14ac:dyDescent="0.2">
      <c r="A228" t="str">
        <f>"89016527"</f>
        <v>89016527</v>
      </c>
      <c r="B228" t="str">
        <f>"Paket: gebr.  Richtstützen 210 + 260"</f>
        <v>Paket: gebr.  Richtstützen 210 + 260</v>
      </c>
      <c r="C228" s="2">
        <v>1</v>
      </c>
    </row>
    <row r="229" spans="1:3" x14ac:dyDescent="0.2">
      <c r="A229" t="str">
        <f>"89016531"</f>
        <v>89016531</v>
      </c>
      <c r="B229" t="str">
        <f>"9999 Posten: Stützbock div. Hersteller"</f>
        <v>9999 Posten: Stützbock div. Hersteller</v>
      </c>
      <c r="C229" s="2">
        <v>1</v>
      </c>
    </row>
    <row r="230" spans="1:3" x14ac:dyDescent="0.2">
      <c r="A230" t="str">
        <f>"89016610"</f>
        <v>89016610</v>
      </c>
      <c r="B230" t="str">
        <f>"Paket: gebr. Vario Alu Beam AB 20C Träger 4,50m"</f>
        <v>Paket: gebr. Vario Alu Beam AB 20C Träger 4,50m</v>
      </c>
      <c r="C230" s="2">
        <v>1</v>
      </c>
    </row>
    <row r="231" spans="1:3" x14ac:dyDescent="0.2">
      <c r="A231" t="str">
        <f>"89016652"</f>
        <v>89016652</v>
      </c>
      <c r="B231" t="str">
        <f>"Paket: gebr. Kreuzköpfe"</f>
        <v>Paket: gebr. Kreuzköpfe</v>
      </c>
      <c r="C231" s="2">
        <v>16</v>
      </c>
    </row>
    <row r="232" spans="1:3" x14ac:dyDescent="0.2">
      <c r="A232" t="str">
        <f>"89017029"</f>
        <v>89017029</v>
      </c>
      <c r="B232" t="str">
        <f>"Paket: PERI Stützen 5,00m"</f>
        <v>Paket: PERI Stützen 5,00m</v>
      </c>
      <c r="C232" s="2">
        <v>1</v>
      </c>
    </row>
    <row r="233" spans="1:3" x14ac:dyDescent="0.2">
      <c r="A233" t="str">
        <f>"89017109"</f>
        <v>89017109</v>
      </c>
      <c r="B233" t="str">
        <f>"Posten: PERI UP"</f>
        <v>Posten: PERI UP</v>
      </c>
      <c r="C233" s="2">
        <v>1</v>
      </c>
    </row>
    <row r="234" spans="1:3" x14ac:dyDescent="0.2">
      <c r="A234" t="str">
        <f>"89017275"</f>
        <v>89017275</v>
      </c>
      <c r="B234" t="str">
        <f>"PERI VT20- /GT24-Träger"</f>
        <v>PERI VT20- /GT24-Träger</v>
      </c>
      <c r="C234" s="2">
        <v>1</v>
      </c>
    </row>
    <row r="235" spans="1:3" x14ac:dyDescent="0.2">
      <c r="A235" t="str">
        <f>"89017366"</f>
        <v>89017366</v>
      </c>
      <c r="B235" t="str">
        <f>"PERI GT24 / VT 20 Träger"</f>
        <v>PERI GT24 / VT 20 Träger</v>
      </c>
      <c r="C235" s="2">
        <v>1</v>
      </c>
    </row>
    <row r="236" spans="1:3" x14ac:dyDescent="0.2">
      <c r="A236" t="str">
        <f>"89017408"</f>
        <v>89017408</v>
      </c>
      <c r="B236" t="str">
        <f>"Posten: PERI GT24-Träger"</f>
        <v>Posten: PERI GT24-Träger</v>
      </c>
      <c r="C236" s="2">
        <v>1</v>
      </c>
    </row>
    <row r="237" spans="1:3" x14ac:dyDescent="0.2">
      <c r="A237" t="str">
        <f>"89017572"</f>
        <v>89017572</v>
      </c>
      <c r="B237" t="str">
        <f>"PERI VT20- /GT24-Träger"</f>
        <v>PERI VT20- /GT24-Träger</v>
      </c>
      <c r="C237" s="2">
        <v>1</v>
      </c>
    </row>
    <row r="238" spans="1:3" x14ac:dyDescent="0.2">
      <c r="A238" t="str">
        <f>"89116530"</f>
        <v>89116530</v>
      </c>
      <c r="B238" t="str">
        <f>"Paket: gebr. Deckenstützen 2,50 m"</f>
        <v>Paket: gebr. Deckenstützen 2,50 m</v>
      </c>
      <c r="C238" s="2">
        <v>1</v>
      </c>
    </row>
    <row r="239" spans="1:3" x14ac:dyDescent="0.2">
      <c r="A239" t="str">
        <f>"89117186"</f>
        <v>89117186</v>
      </c>
      <c r="B239" t="str">
        <f>"PERI SKYDECK Zubehör (Export)"</f>
        <v>PERI SKYDECK Zubehör (Export)</v>
      </c>
      <c r="C239" s="2">
        <v>1</v>
      </c>
    </row>
    <row r="240" spans="1:3" x14ac:dyDescent="0.2">
      <c r="A240" t="str">
        <f>"89216527"</f>
        <v>89216527</v>
      </c>
      <c r="B240" t="str">
        <f>"Paket: gebr. Richtstützen lack"</f>
        <v>Paket: gebr. Richtstützen lack</v>
      </c>
      <c r="C240" s="2">
        <v>1</v>
      </c>
    </row>
    <row r="241" spans="1:3" x14ac:dyDescent="0.2">
      <c r="A241" t="str">
        <f>"89316530"</f>
        <v>89316530</v>
      </c>
      <c r="B241" t="str">
        <f>"Paket: gebr. Deckenstützen 3,00 m"</f>
        <v>Paket: gebr. Deckenstützen 3,00 m</v>
      </c>
      <c r="C241" s="2">
        <v>1</v>
      </c>
    </row>
    <row r="242" spans="1:3" x14ac:dyDescent="0.2">
      <c r="A242" t="str">
        <f>"89416257"</f>
        <v>89416257</v>
      </c>
      <c r="B242" t="str">
        <f>"Paket: gebr. Richtstützen 2,60m lack."</f>
        <v>Paket: gebr. Richtstützen 2,60m lack.</v>
      </c>
      <c r="C242" s="2">
        <v>1</v>
      </c>
    </row>
    <row r="243" spans="1:3" x14ac:dyDescent="0.2">
      <c r="A243" t="str">
        <f>"89516530"</f>
        <v>89516530</v>
      </c>
      <c r="B243" t="str">
        <f>"Paket: gebr. Deckenstützen 2,50 + 3,00 m"</f>
        <v>Paket: gebr. Deckenstützen 2,50 + 3,00 m</v>
      </c>
      <c r="C243" s="2">
        <v>1</v>
      </c>
    </row>
    <row r="244" spans="1:3" x14ac:dyDescent="0.2">
      <c r="A244" t="str">
        <f>"89816652"</f>
        <v>89816652</v>
      </c>
      <c r="B244" t="str">
        <f>"Paket: gebr. Deckenstützen 1,5 m - 2,25 m"</f>
        <v>Paket: gebr. Deckenstützen 1,5 m - 2,25 m</v>
      </c>
      <c r="C244" s="2">
        <v>1</v>
      </c>
    </row>
  </sheetData>
  <autoFilter ref="A1:C244" xr:uid="{F40B981F-F547-40D8-8ED0-8DBD21B5DC5F}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5c8251e0-caf7-4748-8ff8-439e3f55cda8}" enabled="1" method="Standard" siteId="{975d243a-4e65-46df-b77f-8f73a893ca2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rptAbfDataArtikelLagerbestand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Hiestand, Jennifer</dc:creator>
  <cp:lastModifiedBy>Jaeger, Julia</cp:lastModifiedBy>
  <dcterms:created xsi:type="dcterms:W3CDTF">2026-10-13T13:03:22Z</dcterms:created>
  <dcterms:modified xsi:type="dcterms:W3CDTF">2026-10-14T05:34:36Z</dcterms:modified>
</cp:coreProperties>
</file>